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J:\WF&amp;BR\ATS\22 FinanceModel\Wrap models\Wrap Ret Exp Tool\TY 2026 - 2027\"/>
    </mc:Choice>
  </mc:AlternateContent>
  <xr:revisionPtr revIDLastSave="0" documentId="13_ncr:1_{85BB829F-826B-4D01-8B96-EFA836660764}" xr6:coauthVersionLast="47" xr6:coauthVersionMax="47" xr10:uidLastSave="{00000000-0000-0000-0000-000000000000}"/>
  <workbookProtection workbookAlgorithmName="SHA-512" workbookHashValue="MUsWkzGDMKi7yHVE0TRcTil+YMnzQop5QwkAtF58cIGqWoi+5SXsGBoz9WFSmPGJrlNgWsH0jofyD0oOvF00og==" workbookSaltValue="4svc8SlUhiCZl+wylXs2eA==" workbookSpinCount="100000" lockStructure="1"/>
  <bookViews>
    <workbookView xWindow="57480" yWindow="-120" windowWidth="29040" windowHeight="15720" xr2:uid="{00000000-000D-0000-FFFF-FFFF00000000}"/>
  </bookViews>
  <sheets>
    <sheet name="Inputs" sheetId="1" r:id="rId1"/>
    <sheet name="EUA Summary Document" sheetId="8" state="veryHidden" r:id="rId2"/>
    <sheet name="Chart" sheetId="7" r:id="rId3"/>
    <sheet name="Lookups" sheetId="6" state="veryHidden" r:id="rId4"/>
    <sheet name="A25" sheetId="3" state="veryHidden" r:id="rId5"/>
    <sheet name="A31" sheetId="5" state="veryHidden" r:id="rId6"/>
  </sheets>
  <definedNames>
    <definedName name="_PAF1">Inputs!$D$22</definedName>
    <definedName name="_PAF10">Inputs!$D$31</definedName>
    <definedName name="_PAF11">Inputs!$D$32</definedName>
    <definedName name="_PAF12">Inputs!$D$33</definedName>
    <definedName name="_PAF13">Inputs!$D$34</definedName>
    <definedName name="_PAF2">Inputs!$D$23</definedName>
    <definedName name="_PAF3">Inputs!$D$24</definedName>
    <definedName name="_PAF4">Inputs!$D$25</definedName>
    <definedName name="_PAF5">Inputs!$D$26</definedName>
    <definedName name="_PAF6">Inputs!$D$27</definedName>
    <definedName name="_PAF7">Inputs!$D$28</definedName>
    <definedName name="_PAF8">Inputs!$D$29</definedName>
    <definedName name="_PAF9">Inputs!$D$30</definedName>
    <definedName name="additional_income">Lookups!$G$23</definedName>
    <definedName name="additional_rate">Lookups!$F$23</definedName>
    <definedName name="additional_tax">Lookups!$H$23</definedName>
    <definedName name="adj_nil_band">Lookups!$E$20</definedName>
    <definedName name="adj_nil_band_sco">Lookups!$N$20</definedName>
    <definedName name="advanced_band_sco">Lookups!$M$25</definedName>
    <definedName name="advanced_income_sco">Lookups!$P$25</definedName>
    <definedName name="advanced_rate_sco">Lookups!$O$25</definedName>
    <definedName name="advanced_sco">Lookups!$L$25</definedName>
    <definedName name="annual_income">Lookups!$C$9</definedName>
    <definedName name="basic_band">Lookups!$D$21</definedName>
    <definedName name="Basic_band_sco">Lookups!$M$22</definedName>
    <definedName name="basic_england">Lookups!$C$21</definedName>
    <definedName name="basic_income">Lookups!$G$21</definedName>
    <definedName name="basic_income_sco">Lookups!$P$22</definedName>
    <definedName name="basic_rate">Lookups!$F$21</definedName>
    <definedName name="basic_rate_sco">Lookups!$O$22</definedName>
    <definedName name="basic_sco">Lookups!$L$22</definedName>
    <definedName name="basic_scotland">Lookups!#REF!</definedName>
    <definedName name="basic_tax">Lookups!$H$21</definedName>
    <definedName name="country">Inputs!$C$7</definedName>
    <definedName name="Est_expenditure1">Inputs!$C$22</definedName>
    <definedName name="Est_expenditure10">Inputs!$C$31</definedName>
    <definedName name="Est_expenditure11">Inputs!$C$32</definedName>
    <definedName name="Est_expenditure12">Inputs!$C$33</definedName>
    <definedName name="Est_expenditure13">Inputs!$C$34</definedName>
    <definedName name="Est_expenditure2">Inputs!$C$23</definedName>
    <definedName name="Est_expenditure3">Inputs!$C$24</definedName>
    <definedName name="Est_expenditure4">Inputs!$C$25</definedName>
    <definedName name="Est_expenditure5">Inputs!$C$26</definedName>
    <definedName name="Est_expenditure6">Inputs!$C$27</definedName>
    <definedName name="Est_expenditure7">Inputs!$C$28</definedName>
    <definedName name="Est_expenditure8">Inputs!$C$29</definedName>
    <definedName name="Est_expenditure9">Inputs!$C$30</definedName>
    <definedName name="exp_scaling">Lookups!$C$37</definedName>
    <definedName name="exp_type">Inputs!$C$5</definedName>
    <definedName name="Expenditure1">Inputs!$E$22</definedName>
    <definedName name="Expenditure10">Inputs!$E$31</definedName>
    <definedName name="Expenditure11">Inputs!$E$32</definedName>
    <definedName name="Expenditure12">Inputs!$E$33</definedName>
    <definedName name="Expenditure13">Inputs!$E$34</definedName>
    <definedName name="Expenditure2">Inputs!$E$23</definedName>
    <definedName name="Expenditure3">Inputs!$E$24</definedName>
    <definedName name="Expenditure4">Inputs!$E$25</definedName>
    <definedName name="Expenditure5">Inputs!$E$26</definedName>
    <definedName name="Expenditure6">Inputs!$E$27</definedName>
    <definedName name="Expenditure7">Inputs!$E$28</definedName>
    <definedName name="Expenditure8">Inputs!$E$29</definedName>
    <definedName name="Expenditure9">Inputs!$E$30</definedName>
    <definedName name="form_lookup">Lookups!$C$34</definedName>
    <definedName name="higher_band">Lookups!$D$22</definedName>
    <definedName name="Higher_band_sco">Lookups!$M$24</definedName>
    <definedName name="higher_england">Lookups!$C$22</definedName>
    <definedName name="higher_income">Lookups!$G$22</definedName>
    <definedName name="higher_income_sco">Lookups!$P$24</definedName>
    <definedName name="higher_rate">Lookups!$F$22</definedName>
    <definedName name="higher_rate_sco">Lookups!$O$24</definedName>
    <definedName name="higher_sco">Lookups!$L$24</definedName>
    <definedName name="higher_scotland">Lookups!#REF!</definedName>
    <definedName name="higher_tax">Lookups!$H$22</definedName>
    <definedName name="income_range">Lookups!$C$5</definedName>
    <definedName name="inf">Lookups!$C$59</definedName>
    <definedName name="inter_band_sco">Lookups!$M$23</definedName>
    <definedName name="inter_income_sco">Lookups!$P$23</definedName>
    <definedName name="inter_rate_sco">Lookups!$O$23</definedName>
    <definedName name="Inter_sco">Lookups!$L$23</definedName>
    <definedName name="interpolated_factor">Lookups!$D$54</definedName>
    <definedName name="Intr_sco">Lookups!$L$23</definedName>
    <definedName name="lookup_range">Lookups!$C$6</definedName>
    <definedName name="mapping_table">Lookups!$B$3:$C$4</definedName>
    <definedName name="net_income">Lookups!$C$32</definedName>
    <definedName name="nil_band">Lookups!$D$20</definedName>
    <definedName name="nil_band_sco">Lookups!$M$20</definedName>
    <definedName name="nil_england">Lookups!$C$20</definedName>
    <definedName name="nil_income">Lookups!$G$20</definedName>
    <definedName name="nil_income_Sco">Lookups!$P$20</definedName>
    <definedName name="nil_rate">Lookups!$F$20</definedName>
    <definedName name="nil_rate_sco">Lookups!$O$20</definedName>
    <definedName name="nil_sco">Lookups!$L$20</definedName>
    <definedName name="nil_scotland">Lookups!#REF!</definedName>
    <definedName name="nil_tax">Lookups!$H$20</definedName>
    <definedName name="personal_adj">Lookups!$C$13</definedName>
    <definedName name="quintile">Lookups!$C$35</definedName>
    <definedName name="rep_ratio">Lookups!#REF!</definedName>
    <definedName name="replacement_ratio">Lookups!$C$45:$D$49</definedName>
    <definedName name="salary">Inputs!$C$6</definedName>
    <definedName name="Starter_band">Lookups!$M$21</definedName>
    <definedName name="Starter_band_sco">Lookups!$M$21</definedName>
    <definedName name="starter_income">Lookups!$P$21</definedName>
    <definedName name="starter_income_sco">Lookups!$P$21</definedName>
    <definedName name="starter_rate_sco">Lookups!$O$21</definedName>
    <definedName name="starter_sco">Lookups!$L$21</definedName>
    <definedName name="top_band_sco">Lookups!$M$26</definedName>
    <definedName name="top_income_sco">Lookups!$P$26</definedName>
    <definedName name="top_rate_sco">Lookups!$O$26</definedName>
    <definedName name="top_sco">Lookups!$L$26</definedName>
    <definedName name="total_expenditure">Lookups!$C$36</definedName>
    <definedName name="total_tax">Lookups!$H$24</definedName>
    <definedName name="total_tax_scot">Lookups!$Q$27</definedName>
    <definedName name="weekly_expenditure">Lookups!$C$33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6" l="1"/>
  <c r="M24" i="6"/>
  <c r="C34" i="6"/>
  <c r="D20" i="6" l="1"/>
  <c r="C59" i="6" l="1"/>
  <c r="C49" i="6" s="1"/>
  <c r="C47" i="6" l="1"/>
  <c r="C46" i="6"/>
  <c r="D21" i="6"/>
  <c r="D22" i="6" l="1"/>
  <c r="M23" i="6"/>
  <c r="M22" i="6"/>
  <c r="M21" i="6"/>
  <c r="M20" i="6"/>
  <c r="C48" i="6" l="1"/>
  <c r="C45" i="6"/>
  <c r="B19" i="1"/>
  <c r="C52" i="6" l="1"/>
  <c r="C53" i="6"/>
  <c r="D53" i="6" s="1"/>
  <c r="C54" i="6"/>
  <c r="D52" i="6" l="1"/>
  <c r="D54" i="6" l="1"/>
  <c r="C9" i="6" s="1"/>
  <c r="N20" i="6" l="1"/>
  <c r="P20" i="6" s="1"/>
  <c r="P21" i="6" s="1"/>
  <c r="P22" i="6" s="1"/>
  <c r="P23" i="6" s="1"/>
  <c r="P24" i="6" s="1"/>
  <c r="P25" i="6" s="1"/>
  <c r="E20" i="6"/>
  <c r="C17" i="1"/>
  <c r="Q20" i="6" l="1"/>
  <c r="P26" i="6"/>
  <c r="Q25" i="6"/>
  <c r="Q21" i="6"/>
  <c r="Q22" i="6"/>
  <c r="Q23" i="6"/>
  <c r="Q24" i="6"/>
  <c r="G20" i="6"/>
  <c r="G21" i="6" s="1"/>
  <c r="G22" i="6" s="1"/>
  <c r="G23" i="6" s="1"/>
  <c r="H20" i="6" l="1"/>
  <c r="H21" i="6" l="1"/>
  <c r="Q26" i="6"/>
  <c r="Q27" i="6" l="1"/>
  <c r="P27" i="6"/>
  <c r="H22" i="6"/>
  <c r="H23" i="6"/>
  <c r="O27" i="6" l="1"/>
  <c r="H24" i="6"/>
  <c r="C32" i="6" s="1"/>
  <c r="C33" i="6" s="1"/>
  <c r="G24" i="6"/>
  <c r="C35" i="6"/>
  <c r="F24" i="6" l="1"/>
  <c r="C36" i="6"/>
  <c r="C37" i="6" l="1"/>
  <c r="C33" i="1"/>
  <c r="E33" i="1" l="1"/>
  <c r="C26" i="1"/>
  <c r="C24" i="1"/>
  <c r="C32" i="1"/>
  <c r="C29" i="1"/>
  <c r="C23" i="1"/>
  <c r="C25" i="1"/>
  <c r="C22" i="1"/>
  <c r="C31" i="1"/>
  <c r="C27" i="1"/>
  <c r="C30" i="1"/>
  <c r="C34" i="1"/>
  <c r="C28" i="1"/>
  <c r="E32" i="1" l="1"/>
  <c r="E29" i="1"/>
  <c r="E23" i="1"/>
  <c r="E25" i="1"/>
  <c r="E28" i="1"/>
  <c r="E26" i="1"/>
  <c r="E34" i="1"/>
  <c r="E27" i="1"/>
  <c r="E30" i="1"/>
  <c r="E31" i="1"/>
  <c r="E24" i="1"/>
  <c r="E22" i="1"/>
  <c r="C35" i="1"/>
  <c r="E35" i="1" l="1"/>
</calcChain>
</file>

<file path=xl/sharedStrings.xml><?xml version="1.0" encoding="utf-8"?>
<sst xmlns="http://schemas.openxmlformats.org/spreadsheetml/2006/main" count="298" uniqueCount="194">
  <si>
    <t>A25</t>
  </si>
  <si>
    <t>A31</t>
  </si>
  <si>
    <t>Food and non-alcoholic drinks</t>
  </si>
  <si>
    <t>Alcoholic drinks, tobacco and narcotics</t>
  </si>
  <si>
    <t>Clothing and footwear</t>
  </si>
  <si>
    <t>Household goods and services</t>
  </si>
  <si>
    <t>Health</t>
  </si>
  <si>
    <t>Transport</t>
  </si>
  <si>
    <t>Communication</t>
  </si>
  <si>
    <t>Recreation and culture</t>
  </si>
  <si>
    <t>Education</t>
  </si>
  <si>
    <t>Restaurants and hotels</t>
  </si>
  <si>
    <t>Miscellaneous goods and services</t>
  </si>
  <si>
    <t>Other expenditure items</t>
  </si>
  <si>
    <t>Total</t>
  </si>
  <si>
    <t>UK, financial year ending 2014 to financial year ending 2016</t>
  </si>
  <si>
    <t>Lowest</t>
  </si>
  <si>
    <t>Second</t>
  </si>
  <si>
    <t>Third</t>
  </si>
  <si>
    <t>Fourth</t>
  </si>
  <si>
    <t>Highest</t>
  </si>
  <si>
    <t>All</t>
  </si>
  <si>
    <t>twenty</t>
  </si>
  <si>
    <t>quintile</t>
  </si>
  <si>
    <t>house-</t>
  </si>
  <si>
    <t>per cent</t>
  </si>
  <si>
    <t>group</t>
  </si>
  <si>
    <t>holds</t>
  </si>
  <si>
    <t xml:space="preserve"> </t>
  </si>
  <si>
    <t>Total number of households in sample (over 3 years)</t>
  </si>
  <si>
    <t>Total number of persons in sample (over 3 years)</t>
  </si>
  <si>
    <t>Total number of adults in sample (over 3 years)</t>
  </si>
  <si>
    <t>Weighted average number of persons per household</t>
  </si>
  <si>
    <t>Commodity or service</t>
  </si>
  <si>
    <t>Average weekly household expenditure (£)</t>
  </si>
  <si>
    <t>1</t>
  </si>
  <si>
    <t>2</t>
  </si>
  <si>
    <t>3</t>
  </si>
  <si>
    <t>4</t>
  </si>
  <si>
    <t>5</t>
  </si>
  <si>
    <t>6</t>
  </si>
  <si>
    <t>7</t>
  </si>
  <si>
    <t>8</t>
  </si>
  <si>
    <t>9</t>
  </si>
  <si>
    <t>10</t>
  </si>
  <si>
    <t>11</t>
  </si>
  <si>
    <t>12</t>
  </si>
  <si>
    <t>1-12</t>
  </si>
  <si>
    <t>All expenditure groups</t>
  </si>
  <si>
    <t>13</t>
  </si>
  <si>
    <t>Total expenditure</t>
  </si>
  <si>
    <t>Average weekly expenditure per person (£)</t>
  </si>
  <si>
    <t>Note: The commodity and service categories are not comparable to those in publications before 2001-02.</t>
  </si>
  <si>
    <t>Please see background notes for symbols and conventions used in this report.</t>
  </si>
  <si>
    <t>This table is based on a three year average.</t>
  </si>
  <si>
    <t>differs from ONS' preferred measure of income. For more details please see the methodology section of this bulletin.</t>
  </si>
  <si>
    <t>Source: Office for National Statistics</t>
  </si>
  <si>
    <t>Table A25</t>
  </si>
  <si>
    <t>Expenditure of one person retired households not mainly dependent on state pensions</t>
  </si>
  <si>
    <t>by gross income quintile group1</t>
  </si>
  <si>
    <t>Lower boundary of group (£ per week)2</t>
  </si>
  <si>
    <t>Average weighted number of households (thousands)</t>
  </si>
  <si>
    <t>Housing(net)3, fuel and power</t>
  </si>
  <si>
    <t>1 The income measure used to create the deciles/quintiles is consistent with previous Family Spending reports. However, this differs</t>
  </si>
  <si>
    <t>from ONS' preferred measure of income. For more details please see the methodology section of this bulletin.</t>
  </si>
  <si>
    <t>2 Lower boundary of 2015-16 gross income quintile groups (£ per week).</t>
  </si>
  <si>
    <t>3 Excluding mortgage interest payments, council tax and Northern Ireland rates.</t>
  </si>
  <si>
    <t>Table A31</t>
  </si>
  <si>
    <t>Expenditure of two adult retired households not mainly dependent on state pensions</t>
  </si>
  <si>
    <r>
      <t>by gross income quintile group</t>
    </r>
    <r>
      <rPr>
        <b/>
        <vertAlign val="superscript"/>
        <sz val="12"/>
        <color indexed="18"/>
        <rFont val="Arial"/>
        <family val="2"/>
      </rPr>
      <t>1</t>
    </r>
  </si>
  <si>
    <r>
      <t>Lower boundary of group (£ per week)</t>
    </r>
    <r>
      <rPr>
        <vertAlign val="superscript"/>
        <sz val="8"/>
        <color indexed="18"/>
        <rFont val="Arial"/>
        <family val="2"/>
      </rPr>
      <t>2</t>
    </r>
  </si>
  <si>
    <r>
      <t>Housing(net)</t>
    </r>
    <r>
      <rPr>
        <vertAlign val="superscript"/>
        <sz val="9"/>
        <rFont val="Arial"/>
        <family val="2"/>
      </rPr>
      <t>3</t>
    </r>
    <r>
      <rPr>
        <sz val="9"/>
        <rFont val="Arial"/>
        <family val="2"/>
      </rPr>
      <t>, fuel and power</t>
    </r>
  </si>
  <si>
    <t>1 The income measure used to create the deciles/quintiles is consistent with previous Family Spending reports. However, this</t>
  </si>
  <si>
    <t>Individual</t>
  </si>
  <si>
    <t>Couple</t>
  </si>
  <si>
    <t>Scaling</t>
  </si>
  <si>
    <t>Mapping</t>
  </si>
  <si>
    <t>Inputs</t>
  </si>
  <si>
    <t>Gross Income Quintile</t>
  </si>
  <si>
    <r>
      <t>Housing(net)</t>
    </r>
    <r>
      <rPr>
        <sz val="9"/>
        <rFont val="Arial"/>
        <family val="2"/>
      </rPr>
      <t>, fuel and power</t>
    </r>
  </si>
  <si>
    <t>Type</t>
  </si>
  <si>
    <t>Salary</t>
  </si>
  <si>
    <t>https://www.gov.uk/government/uploads/system/uploads/attachment_data/file/254321/framework-analysis-future-pensio-incomes.pdf</t>
  </si>
  <si>
    <t>Limitations and assumptions</t>
  </si>
  <si>
    <t>Income summary</t>
  </si>
  <si>
    <t>Click here for more information</t>
  </si>
  <si>
    <t>Exportable chart</t>
  </si>
  <si>
    <t>Main page</t>
  </si>
  <si>
    <t>Lower Tier</t>
  </si>
  <si>
    <t>Upper Tier</t>
  </si>
  <si>
    <t>Interpolated</t>
  </si>
  <si>
    <t>Min gross salary values</t>
  </si>
  <si>
    <t>Form to Lookup</t>
  </si>
  <si>
    <t>E56:I56</t>
  </si>
  <si>
    <t>Lookup Range</t>
  </si>
  <si>
    <t>E25:I53</t>
  </si>
  <si>
    <t>Replacement Ratios</t>
  </si>
  <si>
    <t>Interpolated Ratio</t>
  </si>
  <si>
    <t>Replacement Rate</t>
  </si>
  <si>
    <t>Personal Adjustment</t>
  </si>
  <si>
    <t>Current gross household income</t>
  </si>
  <si>
    <t>Couple or Individual</t>
  </si>
  <si>
    <t>Gross income needed in retirement</t>
  </si>
  <si>
    <t>https://www.ons.gov.uk/economy/inflationandpriceindices/timeseries/d7bt/mm23</t>
  </si>
  <si>
    <t>Inflation</t>
  </si>
  <si>
    <t>CPI (Index Value)</t>
  </si>
  <si>
    <t>Date</t>
  </si>
  <si>
    <t>Taxable income</t>
  </si>
  <si>
    <t>Adjusted Personal Allowance</t>
  </si>
  <si>
    <t>Tax Rate</t>
  </si>
  <si>
    <t>Income in band</t>
  </si>
  <si>
    <t>Tax Paid</t>
  </si>
  <si>
    <t>Income Tax rates and bands assuming all income is taxable</t>
  </si>
  <si>
    <t>Weekly net income in retirement</t>
  </si>
  <si>
    <t>Expenditure Quintile Range</t>
  </si>
  <si>
    <t>Net Income</t>
  </si>
  <si>
    <t>Total Expenditure</t>
  </si>
  <si>
    <t>Salary Band (Sept 2013)</t>
  </si>
  <si>
    <t>Replacement Rate Benchmarks for different income levels as used by the Pensions Commission 2004, expressed in 2017 earnings terms</t>
  </si>
  <si>
    <t>Personal Allowance adjustment level</t>
  </si>
  <si>
    <t>Band England/Wales</t>
  </si>
  <si>
    <t>Band Scotland</t>
  </si>
  <si>
    <t>Nil</t>
  </si>
  <si>
    <t>Basic</t>
  </si>
  <si>
    <t>Higher</t>
  </si>
  <si>
    <t>Additional</t>
  </si>
  <si>
    <t>Bands Used</t>
  </si>
  <si>
    <t>Applicable tax bands</t>
  </si>
  <si>
    <t>Starter</t>
  </si>
  <si>
    <t>Intermediate</t>
  </si>
  <si>
    <t xml:space="preserve">Top </t>
  </si>
  <si>
    <t>Scotland</t>
  </si>
  <si>
    <t>England, Wales &amp; NI</t>
  </si>
  <si>
    <t>Net expense using ONS figures</t>
  </si>
  <si>
    <t>Personalised Net Expense</t>
  </si>
  <si>
    <t>Net expense</t>
  </si>
  <si>
    <t>Other expense items</t>
  </si>
  <si>
    <t>6. The pattern of expected expense before personal adjustment is derived from the Office for National Statistics expense analysis of retired households using tables A25 and A31 for individuals and couples respectively. The retirement  expense tool takes the quintile pattern of expense for the commodities and services listed whose total is immediately below the calculated net income, and scales it up or down proportionately to total the net income. Since the proportion of net income spent on each category varies with the level of net income this approach does not accurately reflect the variation between quintiles of expense.</t>
  </si>
  <si>
    <t>7. The pattern of expected expense is based on spending in the years 2014 to 2016 for the United Kingdom as a whole. The pattern does account for regional variations, including between Scotland and the rest of the United Kingdom.</t>
  </si>
  <si>
    <t>link to more information</t>
  </si>
  <si>
    <t>Amount</t>
  </si>
  <si>
    <t>Income summary in retirement</t>
  </si>
  <si>
    <t>Gross household income required</t>
  </si>
  <si>
    <t xml:space="preserve">How to use:
(1) Choose from Individual or couple
(2) Enter gross household income (i.e. if couple enter joint gross incomes)
(3) Enter the country for the appropriate tax bands to use in the calculation
(4) Use the personal adjustment percentages to personalise the retirement expense for your client
(5) Where the input is Couple the tool assumes that one person earns all the household income. See point 5 under limitations and assumptions for more detail.
(6)  if using the output to complete cashflow modelling, use the appropriate 'gross' or 'net' figure depending on the basis of the cashflow modelling tool to use  </t>
  </si>
  <si>
    <r>
      <t xml:space="preserve">Where do these figures come from?
</t>
    </r>
    <r>
      <rPr>
        <sz val="11"/>
        <rFont val="Arial"/>
        <family val="2"/>
      </rPr>
      <t>These categories and values are taken directly from the ONS figures.</t>
    </r>
    <r>
      <rPr>
        <b/>
        <u/>
        <sz val="11"/>
        <rFont val="Arial"/>
        <family val="2"/>
      </rPr>
      <t xml:space="preserve">
</t>
    </r>
    <r>
      <rPr>
        <sz val="11"/>
        <rFont val="Arial"/>
        <family val="2"/>
      </rPr>
      <t xml:space="preserve">
If you would like to find out how these figures are calculated and what each category includes, the ONS has created a pdf which explains the figures in more detail.</t>
    </r>
  </si>
  <si>
    <r>
      <t xml:space="preserve">Any queries please see </t>
    </r>
    <r>
      <rPr>
        <u/>
        <sz val="11"/>
        <color theme="1"/>
        <rFont val="Arial"/>
        <family val="2"/>
      </rPr>
      <t>note 1</t>
    </r>
    <r>
      <rPr>
        <sz val="11"/>
        <color theme="1"/>
        <rFont val="Arial"/>
        <family val="2"/>
      </rPr>
      <t xml:space="preserve"> below for more details and a link to more information </t>
    </r>
  </si>
  <si>
    <t>EUA Summary</t>
  </si>
  <si>
    <t>Department</t>
  </si>
  <si>
    <t>Created by</t>
  </si>
  <si>
    <t>Date of Creation
(dd/mm/yyyy)</t>
  </si>
  <si>
    <t>Purpose/Business Process</t>
  </si>
  <si>
    <t>Criticality
(Critical/Non Critical)</t>
  </si>
  <si>
    <t>Information Classification</t>
  </si>
  <si>
    <t>Retention Requirements</t>
  </si>
  <si>
    <t>Contains Personally Identifiable Information
(Y/N)</t>
  </si>
  <si>
    <t>Critical</t>
  </si>
  <si>
    <t>Public</t>
  </si>
  <si>
    <t>No</t>
  </si>
  <si>
    <t>Change Control</t>
  </si>
  <si>
    <t>Version Number</t>
  </si>
  <si>
    <t>Date of Change (n.b. this can be the date of creation or modification)</t>
  </si>
  <si>
    <t>Modified by</t>
  </si>
  <si>
    <t>A description of the change</t>
  </si>
  <si>
    <t>Approved by</t>
  </si>
  <si>
    <t xml:space="preserve">Based on your individual position this tool gives you an idea of your expected expenditure in retirement </t>
  </si>
  <si>
    <t>Matt Smith</t>
  </si>
  <si>
    <t>© 2022 abrdn plc. All rights reserved.</t>
  </si>
  <si>
    <t>Business Technical Support (BTS)</t>
  </si>
  <si>
    <t>Version 1.00</t>
  </si>
  <si>
    <t>Cory Zanelli</t>
  </si>
  <si>
    <t>Inherited model as part of the Transitional Service Agreement (TSA) handover from Phoenix Propositional Operations team</t>
  </si>
  <si>
    <t>Version 3.1</t>
  </si>
  <si>
    <t>Minor changes to fall in line with new tax year. Wording changes only</t>
  </si>
  <si>
    <t>Ian Richards</t>
  </si>
  <si>
    <t>&gt;125,140</t>
  </si>
  <si>
    <t>Advanced</t>
  </si>
  <si>
    <t xml:space="preserve">* Standard personal allowance of £12,570 is available only if total income is below £100,000.  If between £100,000 and £125,140 it will be tapered back on a £2 for £1 basis until allowance is fully used. </t>
  </si>
  <si>
    <t>Equ. Salary Band (March 2024)</t>
  </si>
  <si>
    <t>Version 3.2</t>
  </si>
  <si>
    <t>Minor changes to fall in line with new tax year. 
Updated Scotish income tax
updated CPI rate</t>
  </si>
  <si>
    <t xml:space="preserve">Aberdeen Platform Limited is registered in Scotland (SC180203) at 1 George Street, Edinburgh EH2 2LL and authorised and regulated by the Financial Conduct Authority. Aberdeen Platform Limited is part of the Aberdeen group, which comprises </t>
  </si>
  <si>
    <t>Aberdeen group plc and its subsidiaries.</t>
  </si>
  <si>
    <t>Version 3.21</t>
  </si>
  <si>
    <t>z-clause  updated</t>
  </si>
  <si>
    <r>
      <t>1. This retirement expense tool uses replacement rates derived from the Framework for the analysis of future pension incomes paper published by the DWP in September 2013 (</t>
    </r>
    <r>
      <rPr>
        <sz val="11"/>
        <rFont val="Arial"/>
        <family val="2"/>
      </rPr>
      <t>for more information, select the link below</t>
    </r>
    <r>
      <rPr>
        <sz val="11"/>
        <color theme="1"/>
        <rFont val="Arial"/>
        <family val="2"/>
      </rPr>
      <t xml:space="preserve">) to convert current gross household income into gross household income required in retirement. </t>
    </r>
  </si>
  <si>
    <t>2. The salary bands stated in this DWP paper have been increased by Consumer Price Inflation from September 2013 to the latest month for which the Consumer Prices Index has been published. The tool linearly interpolates based on salary to derive the replacement rate.</t>
  </si>
  <si>
    <t>3. Changes in tax bands since 2013, and in particular the introduction of different tax bands for Scotland from the rest of the United Kingdom, may distort the relationship between the gross income required to afford a given level of net expense from that underlying the calculations in the DWP paper.</t>
  </si>
  <si>
    <t>4. This retirement expense tool then uses 2026/27 tax year income tax rates and bands to convert gross household income in retirement into net income that can be spent. The tax rates and bands may change before, and during retirement, so changing the relationship between gross and net income.</t>
  </si>
  <si>
    <t>5. For a couple the retirement  expense tool assumes that one person earns all the household income, so incurring the highest possible income tax for that joint income, and understating the affordable expense in comparison to each person earning part of the income. The tool also assumes that the couple have the same tax residency.</t>
  </si>
  <si>
    <t>8. The outputs from the tool are not personalised quotes and should not be portrayed or used as such and should not be relied upon.</t>
  </si>
  <si>
    <t>9. Aberdeen does not accept any responsibility for any losses incurred by you or your clients as a result of using this tool and/ or any action, or lack of action, you or your clients take based on the output of this tool or the information contained on this webpage.</t>
  </si>
  <si>
    <t>10. The tool is designed to be used by professional financial advisers only and should not be used by retail customers.</t>
  </si>
  <si>
    <t>11. All advice given to your client remains your responsibility. This tool is designed to provide a basis from which to discuss spending needs in retirement with your clients.</t>
  </si>
  <si>
    <t>12. Please be mindful that tax rules and legislation are subject to change at any time. If you are sharing the output with your client or are advising your client on the basis of the output of this tool, you must make your client aware of the limitations contained in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</si>
</sst>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44" formatCode="_-&quot;£&quot;* #,##0.00_-;\-&quot;£&quot;* #,##0.00_-;_-&quot;£&quot;* &quot;-&quot;??_-;_-@_-"/>
    <numFmt numFmtId="43" formatCode="_-* #,##0.00_-;\-* #,##0.00_-;_-* &quot;-&quot;??_-;_-@_-"/>
    <numFmt numFmtId="164" formatCode="General_)"/>
    <numFmt numFmtId="165" formatCode="0.0&quot;0&quot;"/>
    <numFmt numFmtId="166" formatCode="0.0"/>
    <numFmt numFmtId="167" formatCode="&quot;[&quot;0.0&quot;0&quot;&quot;]&quot;"/>
    <numFmt numFmtId="168" formatCode="#,#00"/>
    <numFmt numFmtId="169" formatCode="#,##0.000"/>
    <numFmt numFmtId="170" formatCode="_-&quot;£&quot;* #,##0_-;\-&quot;£&quot;* #,##0_-;_-&quot;£&quot;* &quot;-&quot;??_-;_-@_-"/>
    <numFmt numFmtId="171" formatCode="0.0%"/>
  </numFmts>
  <fonts count="55" x14ac:knownFonts="1">
    <font>
      <sz val="11"/>
      <color theme="1"/>
      <name val="Calibri"/>
      <family val="2"/>
      <scheme val="minor"/>
    </font>
    <font>
      <sz val="10"/>
      <name val="Courier"/>
      <family val="3"/>
    </font>
    <font>
      <sz val="9"/>
      <name val="Arial"/>
      <family val="2"/>
    </font>
    <font>
      <vertAlign val="superscript"/>
      <sz val="9"/>
      <name val="Arial"/>
      <family val="2"/>
    </font>
    <font>
      <b/>
      <sz val="12"/>
      <color indexed="18"/>
      <name val="Arial"/>
      <family val="2"/>
    </font>
    <font>
      <b/>
      <sz val="10"/>
      <name val="Arial Narrow"/>
      <family val="2"/>
    </font>
    <font>
      <b/>
      <sz val="12"/>
      <name val="Arial"/>
      <family val="2"/>
    </font>
    <font>
      <b/>
      <sz val="14"/>
      <name val="Arial"/>
      <family val="2"/>
    </font>
    <font>
      <b/>
      <sz val="10"/>
      <name val="Arial"/>
      <family val="2"/>
    </font>
    <font>
      <b/>
      <vertAlign val="superscript"/>
      <sz val="12"/>
      <color indexed="18"/>
      <name val="Arial"/>
      <family val="2"/>
    </font>
    <font>
      <b/>
      <sz val="10"/>
      <color indexed="18"/>
      <name val="Arial"/>
      <family val="2"/>
    </font>
    <font>
      <sz val="8"/>
      <name val="Arial"/>
      <family val="2"/>
    </font>
    <font>
      <sz val="7"/>
      <name val="Arial"/>
      <family val="2"/>
    </font>
    <font>
      <sz val="10"/>
      <name val="Arial"/>
      <family val="2"/>
    </font>
    <font>
      <b/>
      <sz val="8"/>
      <name val="Arial"/>
      <family val="2"/>
    </font>
    <font>
      <sz val="8"/>
      <color indexed="18"/>
      <name val="Arial"/>
      <family val="2"/>
    </font>
    <font>
      <vertAlign val="superscript"/>
      <sz val="8"/>
      <color indexed="18"/>
      <name val="Arial"/>
      <family val="2"/>
    </font>
    <font>
      <sz val="10"/>
      <color indexed="18"/>
      <name val="Arial"/>
      <family val="2"/>
    </font>
    <font>
      <sz val="10"/>
      <name val="MS Sans Serif"/>
      <family val="2"/>
    </font>
    <font>
      <sz val="9"/>
      <color indexed="18"/>
      <name val="Arial"/>
      <family val="2"/>
    </font>
    <font>
      <i/>
      <sz val="7"/>
      <name val="Arial"/>
      <family val="2"/>
    </font>
    <font>
      <i/>
      <sz val="8"/>
      <name val="Arial"/>
      <family val="2"/>
    </font>
    <font>
      <b/>
      <sz val="9"/>
      <name val="Arial"/>
      <family val="2"/>
    </font>
    <font>
      <b/>
      <sz val="12"/>
      <name val="Arial Narrow"/>
      <family val="2"/>
    </font>
    <font>
      <sz val="12"/>
      <name val="Arial"/>
      <family val="2"/>
    </font>
    <font>
      <u/>
      <sz val="10"/>
      <color indexed="12"/>
      <name val="Courier"/>
      <family val="3"/>
    </font>
    <font>
      <sz val="11"/>
      <color theme="1"/>
      <name val="Calibri"/>
      <family val="2"/>
      <scheme val="minor"/>
    </font>
    <font>
      <sz val="11"/>
      <color theme="0"/>
      <name val="Calibri"/>
      <family val="2"/>
      <scheme val="minor"/>
    </font>
    <font>
      <u/>
      <sz val="11"/>
      <color theme="10"/>
      <name val="Calibri"/>
      <family val="2"/>
      <scheme val="minor"/>
    </font>
    <font>
      <u/>
      <sz val="10"/>
      <color theme="10"/>
      <name val="Courier"/>
      <family val="3"/>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sz val="10"/>
      <color theme="1"/>
      <name val="Calibri"/>
      <family val="2"/>
      <scheme val="minor"/>
    </font>
    <font>
      <sz val="11"/>
      <color rgb="FFFF0000"/>
      <name val="Calibri"/>
      <family val="2"/>
      <scheme val="minor"/>
    </font>
    <font>
      <sz val="10"/>
      <name val="Arial"/>
      <family val="2"/>
    </font>
    <font>
      <sz val="14"/>
      <color rgb="FF222222"/>
      <name val="Arial"/>
      <family val="2"/>
    </font>
    <font>
      <b/>
      <sz val="11"/>
      <color rgb="FF000000"/>
      <name val="Calibri"/>
      <family val="2"/>
      <scheme val="minor"/>
    </font>
    <font>
      <b/>
      <sz val="22"/>
      <color theme="1"/>
      <name val="Calibri"/>
      <family val="2"/>
      <scheme val="minor"/>
    </font>
    <font>
      <sz val="9.5"/>
      <color rgb="FF003275"/>
      <name val="Calibri"/>
      <family val="2"/>
      <scheme val="minor"/>
    </font>
    <font>
      <sz val="11"/>
      <color theme="1"/>
      <name val="Arial"/>
      <family val="2"/>
    </font>
    <font>
      <sz val="11"/>
      <name val="Arial"/>
      <family val="2"/>
    </font>
    <font>
      <b/>
      <u/>
      <sz val="11"/>
      <name val="Arial"/>
      <family val="2"/>
    </font>
    <font>
      <u/>
      <sz val="11"/>
      <color theme="10"/>
      <name val="Arial"/>
      <family val="2"/>
    </font>
    <font>
      <i/>
      <sz val="11"/>
      <name val="Arial"/>
      <family val="2"/>
    </font>
    <font>
      <b/>
      <sz val="11"/>
      <name val="Arial"/>
      <family val="2"/>
    </font>
    <font>
      <b/>
      <sz val="11"/>
      <color theme="1"/>
      <name val="Arial"/>
      <family val="2"/>
    </font>
    <font>
      <u/>
      <sz val="11"/>
      <color theme="1"/>
      <name val="Arial"/>
      <family val="2"/>
    </font>
    <font>
      <sz val="11"/>
      <color theme="0"/>
      <name val="Sharp Sans Display No1 Semibold"/>
    </font>
    <font>
      <b/>
      <sz val="11"/>
      <color theme="0"/>
      <name val="Sharp Sans Display No1 Semibold"/>
    </font>
    <font>
      <sz val="11"/>
      <color rgb="FF000000"/>
      <name val="Arial"/>
      <family val="2"/>
    </font>
    <font>
      <sz val="8"/>
      <color theme="1"/>
      <name val="Arial"/>
      <family val="2"/>
    </font>
    <font>
      <sz val="8"/>
      <color theme="1"/>
      <name val="Calibri"/>
      <family val="2"/>
      <scheme val="minor"/>
    </font>
    <font>
      <b/>
      <sz val="8"/>
      <color theme="1"/>
      <name val="Arial"/>
      <family val="2"/>
    </font>
  </fonts>
  <fills count="14">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9.9978637043366805E-2"/>
        <bgColor indexed="64"/>
      </patternFill>
    </fill>
    <fill>
      <patternFill patternType="solid">
        <fgColor theme="0" tint="-0.499984740745262"/>
        <bgColor indexed="64"/>
      </patternFill>
    </fill>
    <fill>
      <patternFill patternType="solid">
        <fgColor rgb="FF00594C"/>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3" tint="0.59999389629810485"/>
        <bgColor indexed="64"/>
      </patternFill>
    </fill>
  </fills>
  <borders count="4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rgb="FFE5EDF1"/>
      </right>
      <top style="thin">
        <color indexed="64"/>
      </top>
      <bottom style="thin">
        <color indexed="64"/>
      </bottom>
      <diagonal/>
    </border>
    <border>
      <left style="thin">
        <color rgb="FFE5EDF1"/>
      </left>
      <right style="thin">
        <color rgb="FFE5EDF1"/>
      </right>
      <top/>
      <bottom style="thin">
        <color indexed="64"/>
      </bottom>
      <diagonal/>
    </border>
    <border>
      <left style="thin">
        <color rgb="FFE5EDF1"/>
      </left>
      <right style="thin">
        <color indexed="64"/>
      </right>
      <top/>
      <bottom style="thin">
        <color indexed="64"/>
      </bottom>
      <diagonal/>
    </border>
    <border>
      <left style="thin">
        <color indexed="64"/>
      </left>
      <right style="thin">
        <color rgb="FFE5EDF1"/>
      </right>
      <top style="thin">
        <color indexed="64"/>
      </top>
      <bottom style="thin">
        <color theme="0"/>
      </bottom>
      <diagonal/>
    </border>
    <border>
      <left style="thin">
        <color rgb="FFE5EDF1"/>
      </left>
      <right style="thin">
        <color rgb="FFE5EDF1"/>
      </right>
      <top style="thin">
        <color indexed="64"/>
      </top>
      <bottom style="thin">
        <color theme="0"/>
      </bottom>
      <diagonal/>
    </border>
    <border>
      <left style="thin">
        <color rgb="FFE5EDF1"/>
      </left>
      <right style="thin">
        <color indexed="64"/>
      </right>
      <top style="thin">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16">
    <xf numFmtId="0" fontId="0" fillId="0" borderId="0"/>
    <xf numFmtId="40" fontId="18" fillId="0" borderId="0" applyFont="0" applyFill="0" applyBorder="0" applyAlignment="0" applyProtection="0"/>
    <xf numFmtId="43" fontId="1" fillId="0" borderId="0" applyFont="0" applyFill="0" applyBorder="0" applyAlignment="0" applyProtection="0"/>
    <xf numFmtId="40" fontId="1" fillId="0" borderId="0" applyFont="0" applyFill="0" applyBorder="0" applyAlignment="0" applyProtection="0"/>
    <xf numFmtId="44" fontId="26"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4" fontId="1" fillId="0" borderId="0"/>
    <xf numFmtId="164" fontId="1" fillId="0" borderId="0"/>
    <xf numFmtId="164" fontId="1" fillId="0" borderId="0"/>
    <xf numFmtId="0" fontId="13" fillId="0" borderId="0"/>
    <xf numFmtId="164" fontId="1" fillId="0" borderId="0"/>
    <xf numFmtId="0" fontId="26" fillId="3" borderId="10" applyNumberFormat="0" applyFont="0" applyAlignment="0" applyProtection="0"/>
    <xf numFmtId="9" fontId="26" fillId="0" borderId="0" applyFont="0" applyFill="0" applyBorder="0" applyAlignment="0" applyProtection="0"/>
    <xf numFmtId="0" fontId="36" fillId="0" borderId="0"/>
  </cellStyleXfs>
  <cellXfs count="373">
    <xf numFmtId="0" fontId="0" fillId="0" borderId="0" xfId="0"/>
    <xf numFmtId="0" fontId="0" fillId="4" borderId="0" xfId="0" applyFill="1"/>
    <xf numFmtId="165" fontId="2" fillId="2" borderId="0" xfId="8" applyNumberFormat="1" applyFont="1" applyFill="1" applyAlignment="1">
      <alignment horizontal="left" vertical="center"/>
    </xf>
    <xf numFmtId="165" fontId="2" fillId="2" borderId="0" xfId="8" applyNumberFormat="1" applyFont="1" applyFill="1" applyAlignment="1">
      <alignment vertical="center"/>
    </xf>
    <xf numFmtId="164" fontId="4" fillId="2" borderId="0" xfId="8" applyFont="1" applyFill="1" applyAlignment="1">
      <alignment horizontal="left"/>
    </xf>
    <xf numFmtId="164" fontId="5" fillId="2" borderId="0" xfId="8" applyFont="1" applyFill="1"/>
    <xf numFmtId="164" fontId="6" fillId="2" borderId="0" xfId="8" applyFont="1" applyFill="1"/>
    <xf numFmtId="1" fontId="6" fillId="2" borderId="0" xfId="8" applyNumberFormat="1" applyFont="1" applyFill="1" applyAlignment="1">
      <alignment horizontal="right"/>
    </xf>
    <xf numFmtId="164" fontId="8" fillId="2" borderId="0" xfId="8" applyFont="1" applyFill="1"/>
    <xf numFmtId="164" fontId="10" fillId="2" borderId="0" xfId="8" applyFont="1" applyFill="1" applyAlignment="1">
      <alignment horizontal="left"/>
    </xf>
    <xf numFmtId="164" fontId="11" fillId="2" borderId="1" xfId="8" applyFont="1" applyFill="1" applyBorder="1" applyAlignment="1">
      <alignment horizontal="left" vertical="center"/>
    </xf>
    <xf numFmtId="164" fontId="11" fillId="2" borderId="1" xfId="8" applyFont="1" applyFill="1" applyBorder="1" applyAlignment="1">
      <alignment vertical="center"/>
    </xf>
    <xf numFmtId="2" fontId="11" fillId="2" borderId="1" xfId="8" applyNumberFormat="1" applyFont="1" applyFill="1" applyBorder="1" applyAlignment="1">
      <alignment horizontal="right" vertical="center"/>
    </xf>
    <xf numFmtId="164" fontId="1" fillId="0" borderId="0" xfId="8"/>
    <xf numFmtId="164" fontId="12" fillId="2" borderId="0" xfId="8" applyFont="1" applyFill="1" applyAlignment="1">
      <alignment horizontal="left" vertical="center"/>
    </xf>
    <xf numFmtId="164" fontId="13" fillId="2" borderId="0" xfId="8" applyFont="1" applyFill="1" applyAlignment="1">
      <alignment horizontal="left" vertical="center"/>
    </xf>
    <xf numFmtId="164" fontId="12" fillId="2" borderId="0" xfId="8" applyFont="1" applyFill="1" applyAlignment="1">
      <alignment vertical="center"/>
    </xf>
    <xf numFmtId="2" fontId="12" fillId="2" borderId="0" xfId="8" applyNumberFormat="1" applyFont="1" applyFill="1" applyAlignment="1">
      <alignment horizontal="right" vertical="center"/>
    </xf>
    <xf numFmtId="2" fontId="12" fillId="2" borderId="2" xfId="8" applyNumberFormat="1" applyFont="1" applyFill="1" applyBorder="1" applyAlignment="1">
      <alignment horizontal="right" vertical="center"/>
    </xf>
    <xf numFmtId="5" fontId="11" fillId="2" borderId="0" xfId="8" applyNumberFormat="1" applyFont="1" applyFill="1" applyAlignment="1">
      <alignment horizontal="right" vertical="center"/>
    </xf>
    <xf numFmtId="2" fontId="14" fillId="2" borderId="0" xfId="8" applyNumberFormat="1" applyFont="1" applyFill="1" applyAlignment="1">
      <alignment horizontal="right" vertical="center"/>
    </xf>
    <xf numFmtId="164" fontId="11" fillId="2" borderId="0" xfId="8" applyFont="1" applyFill="1" applyAlignment="1">
      <alignment horizontal="right" vertical="center"/>
    </xf>
    <xf numFmtId="164" fontId="11" fillId="2" borderId="1" xfId="8" applyFont="1" applyFill="1" applyBorder="1" applyAlignment="1">
      <alignment horizontal="right" vertical="center"/>
    </xf>
    <xf numFmtId="2" fontId="14" fillId="2" borderId="1" xfId="8" applyNumberFormat="1" applyFont="1" applyFill="1" applyBorder="1" applyAlignment="1">
      <alignment horizontal="right" vertical="center"/>
    </xf>
    <xf numFmtId="2" fontId="11" fillId="2" borderId="0" xfId="8" applyNumberFormat="1" applyFont="1" applyFill="1" applyAlignment="1">
      <alignment horizontal="right" vertical="center"/>
    </xf>
    <xf numFmtId="1" fontId="15" fillId="2" borderId="0" xfId="8" applyNumberFormat="1" applyFont="1" applyFill="1" applyAlignment="1">
      <alignment horizontal="left" vertical="center"/>
    </xf>
    <xf numFmtId="1" fontId="17" fillId="2" borderId="0" xfId="8" applyNumberFormat="1" applyFont="1" applyFill="1" applyAlignment="1">
      <alignment vertical="center"/>
    </xf>
    <xf numFmtId="1" fontId="15" fillId="2" borderId="0" xfId="8" applyNumberFormat="1" applyFont="1" applyFill="1" applyAlignment="1">
      <alignment horizontal="right" vertical="center"/>
    </xf>
    <xf numFmtId="3" fontId="15" fillId="2" borderId="0" xfId="8" applyNumberFormat="1" applyFont="1" applyFill="1" applyAlignment="1">
      <alignment horizontal="right" vertical="center"/>
    </xf>
    <xf numFmtId="164" fontId="15" fillId="2" borderId="0" xfId="8" applyFont="1" applyFill="1" applyAlignment="1">
      <alignment vertical="center"/>
    </xf>
    <xf numFmtId="164" fontId="13" fillId="2" borderId="0" xfId="8" applyFont="1" applyFill="1" applyAlignment="1">
      <alignment vertical="center"/>
    </xf>
    <xf numFmtId="3" fontId="11" fillId="2" borderId="0" xfId="8" applyNumberFormat="1" applyFont="1" applyFill="1" applyAlignment="1">
      <alignment horizontal="right" vertical="center"/>
    </xf>
    <xf numFmtId="164" fontId="11" fillId="2" borderId="0" xfId="8" applyFont="1" applyFill="1" applyAlignment="1">
      <alignment horizontal="left" vertical="center"/>
    </xf>
    <xf numFmtId="38" fontId="11" fillId="2" borderId="0" xfId="1" applyNumberFormat="1" applyFont="1" applyFill="1" applyAlignment="1">
      <alignment horizontal="left" vertical="center"/>
    </xf>
    <xf numFmtId="38" fontId="13" fillId="2" borderId="0" xfId="1" applyNumberFormat="1" applyFont="1" applyFill="1" applyAlignment="1">
      <alignment vertical="center"/>
    </xf>
    <xf numFmtId="38" fontId="11" fillId="2" borderId="0" xfId="1" applyNumberFormat="1" applyFont="1" applyFill="1" applyAlignment="1">
      <alignment horizontal="right" vertical="center"/>
    </xf>
    <xf numFmtId="164" fontId="11" fillId="2" borderId="0" xfId="8" applyFont="1" applyFill="1" applyAlignment="1">
      <alignment vertical="center"/>
    </xf>
    <xf numFmtId="164" fontId="13" fillId="2" borderId="0" xfId="8" applyFont="1" applyFill="1"/>
    <xf numFmtId="38" fontId="11" fillId="2" borderId="0" xfId="1" applyNumberFormat="1" applyFont="1" applyFill="1" applyAlignment="1">
      <alignment vertical="center"/>
    </xf>
    <xf numFmtId="166" fontId="11" fillId="2" borderId="0" xfId="8" applyNumberFormat="1" applyFont="1" applyFill="1" applyAlignment="1">
      <alignment horizontal="left" vertical="center"/>
    </xf>
    <xf numFmtId="166" fontId="13" fillId="2" borderId="0" xfId="8" applyNumberFormat="1" applyFont="1" applyFill="1" applyAlignment="1">
      <alignment vertical="center"/>
    </xf>
    <xf numFmtId="166" fontId="11" fillId="2" borderId="0" xfId="8" applyNumberFormat="1" applyFont="1" applyFill="1" applyAlignment="1">
      <alignment horizontal="right" vertical="center"/>
    </xf>
    <xf numFmtId="166" fontId="11" fillId="2" borderId="0" xfId="8" applyNumberFormat="1" applyFont="1" applyFill="1" applyAlignment="1">
      <alignment vertical="center"/>
    </xf>
    <xf numFmtId="166" fontId="15" fillId="2" borderId="0" xfId="8" applyNumberFormat="1" applyFont="1" applyFill="1" applyAlignment="1">
      <alignment vertical="center"/>
    </xf>
    <xf numFmtId="164" fontId="19" fillId="2" borderId="0" xfId="8" applyFont="1" applyFill="1" applyAlignment="1">
      <alignment vertical="center"/>
    </xf>
    <xf numFmtId="164" fontId="13" fillId="2" borderId="0" xfId="8" applyFont="1" applyFill="1" applyAlignment="1">
      <alignment horizontal="right"/>
    </xf>
    <xf numFmtId="165" fontId="2" fillId="2" borderId="0" xfId="8" quotePrefix="1" applyNumberFormat="1" applyFont="1" applyFill="1" applyAlignment="1">
      <alignment horizontal="left" vertical="center"/>
    </xf>
    <xf numFmtId="165" fontId="2" fillId="2" borderId="0" xfId="8" applyNumberFormat="1" applyFont="1" applyFill="1" applyAlignment="1">
      <alignment horizontal="center" vertical="center"/>
    </xf>
    <xf numFmtId="165" fontId="11" fillId="2" borderId="0" xfId="8" applyNumberFormat="1" applyFont="1" applyFill="1" applyAlignment="1">
      <alignment horizontal="right" vertical="center"/>
    </xf>
    <xf numFmtId="167" fontId="11" fillId="2" borderId="0" xfId="8" applyNumberFormat="1" applyFont="1" applyFill="1" applyAlignment="1">
      <alignment horizontal="right" vertical="center"/>
    </xf>
    <xf numFmtId="1" fontId="20" fillId="2" borderId="0" xfId="8" quotePrefix="1" applyNumberFormat="1" applyFont="1" applyFill="1" applyAlignment="1">
      <alignment horizontal="left" vertical="center"/>
    </xf>
    <xf numFmtId="1" fontId="20" fillId="2" borderId="0" xfId="8" applyNumberFormat="1" applyFont="1" applyFill="1" applyAlignment="1">
      <alignment horizontal="left" vertical="center"/>
    </xf>
    <xf numFmtId="1" fontId="20" fillId="2" borderId="0" xfId="8" quotePrefix="1" applyNumberFormat="1" applyFont="1" applyFill="1" applyAlignment="1">
      <alignment horizontal="center" vertical="center"/>
    </xf>
    <xf numFmtId="1" fontId="20" fillId="2" borderId="0" xfId="8" applyNumberFormat="1" applyFont="1" applyFill="1" applyAlignment="1">
      <alignment vertical="center"/>
    </xf>
    <xf numFmtId="1" fontId="12" fillId="2" borderId="0" xfId="8" applyNumberFormat="1" applyFont="1" applyFill="1" applyAlignment="1">
      <alignment vertical="center"/>
    </xf>
    <xf numFmtId="1" fontId="21" fillId="2" borderId="1" xfId="8" applyNumberFormat="1" applyFont="1" applyFill="1" applyBorder="1" applyAlignment="1">
      <alignment vertical="center"/>
    </xf>
    <xf numFmtId="1" fontId="21" fillId="2" borderId="1" xfId="8" applyNumberFormat="1" applyFont="1" applyFill="1" applyBorder="1" applyAlignment="1">
      <alignment horizontal="center" vertical="center"/>
    </xf>
    <xf numFmtId="1" fontId="21" fillId="2" borderId="0" xfId="8" applyNumberFormat="1" applyFont="1" applyFill="1" applyAlignment="1">
      <alignment horizontal="center" vertical="center"/>
    </xf>
    <xf numFmtId="164" fontId="13" fillId="2" borderId="2" xfId="8" applyFont="1" applyFill="1" applyBorder="1" applyAlignment="1">
      <alignment horizontal="left" vertical="center"/>
    </xf>
    <xf numFmtId="2" fontId="20" fillId="2" borderId="2" xfId="8" applyNumberFormat="1" applyFont="1" applyFill="1" applyBorder="1" applyAlignment="1">
      <alignment horizontal="left" vertical="center"/>
    </xf>
    <xf numFmtId="1" fontId="20" fillId="2" borderId="2" xfId="8" quotePrefix="1" applyNumberFormat="1" applyFont="1" applyFill="1" applyBorder="1" applyAlignment="1">
      <alignment horizontal="center" vertical="center"/>
    </xf>
    <xf numFmtId="164" fontId="13" fillId="2" borderId="2" xfId="8" applyFont="1" applyFill="1" applyBorder="1" applyAlignment="1">
      <alignment horizontal="center"/>
    </xf>
    <xf numFmtId="164" fontId="11" fillId="2" borderId="2" xfId="8" applyFont="1" applyFill="1" applyBorder="1" applyAlignment="1">
      <alignment vertical="center"/>
    </xf>
    <xf numFmtId="165" fontId="22" fillId="2" borderId="0" xfId="8" applyNumberFormat="1" applyFont="1" applyFill="1" applyAlignment="1">
      <alignment horizontal="left" vertical="center"/>
    </xf>
    <xf numFmtId="165" fontId="14" fillId="2" borderId="0" xfId="8" applyNumberFormat="1" applyFont="1" applyFill="1" applyAlignment="1">
      <alignment horizontal="right" vertical="center"/>
    </xf>
    <xf numFmtId="164" fontId="22" fillId="2" borderId="0" xfId="8" applyFont="1" applyFill="1" applyAlignment="1">
      <alignment horizontal="left" vertical="center"/>
    </xf>
    <xf numFmtId="164" fontId="2" fillId="2" borderId="0" xfId="8" applyFont="1" applyFill="1" applyAlignment="1">
      <alignment vertical="center"/>
    </xf>
    <xf numFmtId="165" fontId="22" fillId="2" borderId="0" xfId="8" quotePrefix="1" applyNumberFormat="1" applyFont="1" applyFill="1" applyAlignment="1">
      <alignment horizontal="left" vertical="center"/>
    </xf>
    <xf numFmtId="164" fontId="13" fillId="2" borderId="1" xfId="8" applyFont="1" applyFill="1" applyBorder="1" applyAlignment="1">
      <alignment horizontal="left" vertical="center"/>
    </xf>
    <xf numFmtId="2" fontId="20" fillId="2" borderId="1" xfId="8" applyNumberFormat="1" applyFont="1" applyFill="1" applyBorder="1" applyAlignment="1">
      <alignment horizontal="left" vertical="center"/>
    </xf>
    <xf numFmtId="164" fontId="13" fillId="2" borderId="1" xfId="8" applyFont="1" applyFill="1" applyBorder="1" applyAlignment="1">
      <alignment horizontal="center" vertical="center"/>
    </xf>
    <xf numFmtId="2" fontId="20" fillId="2" borderId="0" xfId="8" applyNumberFormat="1" applyFont="1" applyFill="1" applyAlignment="1">
      <alignment horizontal="left" vertical="center"/>
    </xf>
    <xf numFmtId="164" fontId="13" fillId="2" borderId="0" xfId="8" applyFont="1" applyFill="1" applyAlignment="1">
      <alignment horizontal="center" vertical="center"/>
    </xf>
    <xf numFmtId="164" fontId="13" fillId="2" borderId="0" xfId="8" applyFont="1" applyFill="1" applyAlignment="1">
      <alignment horizontal="right" vertical="center"/>
    </xf>
    <xf numFmtId="1" fontId="11" fillId="2" borderId="0" xfId="8" applyNumberFormat="1" applyFont="1" applyFill="1"/>
    <xf numFmtId="164" fontId="11" fillId="2" borderId="0" xfId="8" applyFont="1" applyFill="1"/>
    <xf numFmtId="164" fontId="11" fillId="2" borderId="0" xfId="8" applyFont="1" applyFill="1" applyAlignment="1">
      <alignment horizontal="right"/>
    </xf>
    <xf numFmtId="164" fontId="11" fillId="2" borderId="0" xfId="8" applyFont="1" applyFill="1" applyAlignment="1">
      <alignment horizontal="left"/>
    </xf>
    <xf numFmtId="164" fontId="11" fillId="2" borderId="0" xfId="8" applyFont="1" applyFill="1" applyAlignment="1">
      <alignment horizontal="center" vertical="center"/>
    </xf>
    <xf numFmtId="164" fontId="11" fillId="2" borderId="0" xfId="8" quotePrefix="1" applyFont="1" applyFill="1" applyAlignment="1">
      <alignment horizontal="left"/>
    </xf>
    <xf numFmtId="0" fontId="4" fillId="2" borderId="0" xfId="0" applyFont="1" applyFill="1"/>
    <xf numFmtId="0" fontId="5" fillId="2" borderId="0" xfId="0" applyFont="1" applyFill="1"/>
    <xf numFmtId="0" fontId="6" fillId="2" borderId="0" xfId="0" applyFont="1" applyFill="1"/>
    <xf numFmtId="0" fontId="7" fillId="2" borderId="0" xfId="0" quotePrefix="1" applyFont="1" applyFill="1" applyAlignment="1">
      <alignment horizontal="left"/>
    </xf>
    <xf numFmtId="2" fontId="7" fillId="2" borderId="0" xfId="0" applyNumberFormat="1" applyFont="1" applyFill="1" applyAlignment="1">
      <alignment horizontal="right"/>
    </xf>
    <xf numFmtId="1" fontId="6" fillId="2" borderId="0" xfId="0" applyNumberFormat="1" applyFont="1" applyFill="1" applyAlignment="1">
      <alignment horizontal="right"/>
    </xf>
    <xf numFmtId="0" fontId="4" fillId="2" borderId="0" xfId="0" applyFont="1" applyFill="1" applyAlignment="1">
      <alignment horizontal="left"/>
    </xf>
    <xf numFmtId="0" fontId="23" fillId="2" borderId="0" xfId="0" applyFont="1" applyFill="1"/>
    <xf numFmtId="0" fontId="6" fillId="2" borderId="0" xfId="0" applyFont="1" applyFill="1" applyAlignment="1">
      <alignment horizontal="left"/>
    </xf>
    <xf numFmtId="2" fontId="6" fillId="2" borderId="0" xfId="0" applyNumberFormat="1" applyFont="1" applyFill="1" applyAlignment="1">
      <alignment horizontal="right"/>
    </xf>
    <xf numFmtId="0" fontId="6" fillId="2" borderId="0" xfId="0" applyFont="1" applyFill="1" applyAlignment="1">
      <alignment horizontal="center"/>
    </xf>
    <xf numFmtId="0" fontId="6" fillId="2" borderId="0" xfId="0" applyFont="1" applyFill="1" applyAlignment="1">
      <alignment horizontal="right"/>
    </xf>
    <xf numFmtId="0" fontId="10" fillId="2" borderId="0" xfId="0" applyFont="1" applyFill="1" applyAlignment="1">
      <alignment horizontal="left"/>
    </xf>
    <xf numFmtId="0" fontId="8" fillId="2" borderId="0" xfId="0" applyFont="1" applyFill="1"/>
    <xf numFmtId="0" fontId="11" fillId="2" borderId="1" xfId="0" applyFont="1" applyFill="1" applyBorder="1" applyAlignment="1">
      <alignment horizontal="left" vertical="center"/>
    </xf>
    <xf numFmtId="0" fontId="11" fillId="2" borderId="1" xfId="0" applyFont="1" applyFill="1" applyBorder="1" applyAlignment="1">
      <alignment vertical="center"/>
    </xf>
    <xf numFmtId="2" fontId="11" fillId="2" borderId="1" xfId="0" applyNumberFormat="1" applyFont="1" applyFill="1" applyBorder="1" applyAlignment="1">
      <alignment horizontal="right" vertical="center"/>
    </xf>
    <xf numFmtId="0" fontId="11" fillId="2" borderId="0" xfId="0"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2" fillId="2" borderId="0" xfId="0" applyFont="1" applyFill="1" applyAlignment="1">
      <alignment vertical="center"/>
    </xf>
    <xf numFmtId="2" fontId="12" fillId="2" borderId="0" xfId="0" applyNumberFormat="1" applyFont="1" applyFill="1" applyAlignment="1">
      <alignment horizontal="right" vertical="center"/>
    </xf>
    <xf numFmtId="2" fontId="12" fillId="2" borderId="2" xfId="0" applyNumberFormat="1" applyFont="1" applyFill="1" applyBorder="1" applyAlignment="1">
      <alignment horizontal="right" vertical="center"/>
    </xf>
    <xf numFmtId="0" fontId="11" fillId="2" borderId="0" xfId="0" applyFont="1" applyFill="1" applyAlignment="1">
      <alignment horizontal="left" vertical="center"/>
    </xf>
    <xf numFmtId="5" fontId="11" fillId="2" borderId="0" xfId="0" applyNumberFormat="1" applyFont="1" applyFill="1" applyAlignment="1">
      <alignment horizontal="right" vertical="center"/>
    </xf>
    <xf numFmtId="2" fontId="14" fillId="2" borderId="0" xfId="0" applyNumberFormat="1" applyFont="1" applyFill="1" applyAlignment="1">
      <alignment horizontal="right"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2" fontId="14" fillId="2" borderId="1" xfId="0" applyNumberFormat="1" applyFont="1" applyFill="1" applyBorder="1" applyAlignment="1">
      <alignment horizontal="right" vertical="center"/>
    </xf>
    <xf numFmtId="1" fontId="15" fillId="2" borderId="0" xfId="0" applyNumberFormat="1" applyFont="1" applyFill="1" applyAlignment="1">
      <alignment horizontal="left" vertical="center"/>
    </xf>
    <xf numFmtId="1" fontId="17" fillId="2" borderId="0" xfId="0" applyNumberFormat="1" applyFont="1" applyFill="1" applyAlignment="1">
      <alignment vertical="center"/>
    </xf>
    <xf numFmtId="1" fontId="15" fillId="2" borderId="0" xfId="0" applyNumberFormat="1" applyFont="1" applyFill="1" applyAlignment="1">
      <alignment horizontal="right" vertical="center"/>
    </xf>
    <xf numFmtId="3" fontId="15" fillId="2" borderId="0" xfId="0" applyNumberFormat="1" applyFont="1" applyFill="1" applyAlignment="1">
      <alignment horizontal="right" vertical="center"/>
    </xf>
    <xf numFmtId="0" fontId="15" fillId="2" borderId="0" xfId="0" applyFont="1" applyFill="1" applyAlignment="1">
      <alignment vertical="center"/>
    </xf>
    <xf numFmtId="0" fontId="13" fillId="2" borderId="0" xfId="0" applyFont="1" applyFill="1" applyAlignment="1">
      <alignment vertical="center"/>
    </xf>
    <xf numFmtId="3" fontId="11" fillId="2" borderId="0" xfId="0" applyNumberFormat="1" applyFont="1" applyFill="1" applyAlignment="1">
      <alignment horizontal="right" vertical="center"/>
    </xf>
    <xf numFmtId="168" fontId="11" fillId="2" borderId="0" xfId="0" applyNumberFormat="1" applyFont="1" applyFill="1" applyAlignment="1">
      <alignment horizontal="right" vertical="center"/>
    </xf>
    <xf numFmtId="2" fontId="11" fillId="2" borderId="0" xfId="0" applyNumberFormat="1" applyFont="1" applyFill="1" applyAlignment="1">
      <alignment horizontal="right" vertical="center"/>
    </xf>
    <xf numFmtId="166" fontId="11" fillId="2" borderId="0" xfId="0" applyNumberFormat="1" applyFont="1" applyFill="1" applyAlignment="1">
      <alignment horizontal="left" vertical="center"/>
    </xf>
    <xf numFmtId="166" fontId="13" fillId="2" borderId="0" xfId="0" applyNumberFormat="1" applyFont="1" applyFill="1" applyAlignment="1">
      <alignment vertical="center"/>
    </xf>
    <xf numFmtId="166" fontId="11" fillId="2" borderId="0" xfId="0" applyNumberFormat="1" applyFont="1" applyFill="1" applyAlignment="1">
      <alignment horizontal="right" vertical="center"/>
    </xf>
    <xf numFmtId="166" fontId="11" fillId="2" borderId="0" xfId="0" applyNumberFormat="1" applyFont="1" applyFill="1" applyAlignment="1">
      <alignment vertical="center"/>
    </xf>
    <xf numFmtId="0" fontId="15" fillId="2" borderId="0" xfId="0" applyFont="1" applyFill="1" applyAlignment="1">
      <alignment horizontal="left" vertical="center"/>
    </xf>
    <xf numFmtId="0" fontId="19" fillId="2" borderId="0" xfId="0" applyFont="1" applyFill="1" applyAlignment="1">
      <alignment vertical="center"/>
    </xf>
    <xf numFmtId="0" fontId="19" fillId="2" borderId="0" xfId="0" applyFont="1" applyFill="1" applyAlignment="1">
      <alignment horizontal="centerContinuous" vertical="center"/>
    </xf>
    <xf numFmtId="0" fontId="13" fillId="2" borderId="0" xfId="0" applyFont="1" applyFill="1"/>
    <xf numFmtId="0" fontId="13" fillId="2" borderId="0" xfId="0" applyFont="1" applyFill="1" applyAlignment="1">
      <alignment horizontal="right"/>
    </xf>
    <xf numFmtId="165" fontId="2" fillId="2" borderId="0" xfId="0" quotePrefix="1" applyNumberFormat="1" applyFont="1" applyFill="1" applyAlignment="1">
      <alignment horizontal="left" vertical="center"/>
    </xf>
    <xf numFmtId="165" fontId="2" fillId="2" borderId="0" xfId="0" applyNumberFormat="1" applyFont="1" applyFill="1" applyAlignment="1">
      <alignment horizontal="left" vertical="center"/>
    </xf>
    <xf numFmtId="165" fontId="2" fillId="2" borderId="0" xfId="0" applyNumberFormat="1" applyFont="1" applyFill="1" applyAlignment="1">
      <alignment horizontal="center" vertical="center"/>
    </xf>
    <xf numFmtId="165" fontId="11" fillId="2" borderId="0" xfId="0" applyNumberFormat="1" applyFont="1" applyFill="1" applyAlignment="1">
      <alignment horizontal="right" vertical="center"/>
    </xf>
    <xf numFmtId="165" fontId="2" fillId="2" borderId="0" xfId="0" applyNumberFormat="1" applyFont="1" applyFill="1" applyAlignment="1">
      <alignment vertical="center"/>
    </xf>
    <xf numFmtId="1" fontId="20" fillId="2" borderId="0" xfId="0" quotePrefix="1" applyNumberFormat="1" applyFont="1" applyFill="1" applyAlignment="1">
      <alignment horizontal="left" vertical="center"/>
    </xf>
    <xf numFmtId="1" fontId="20" fillId="2" borderId="0" xfId="0" applyNumberFormat="1" applyFont="1" applyFill="1" applyAlignment="1">
      <alignment horizontal="left" vertical="center"/>
    </xf>
    <xf numFmtId="1" fontId="20" fillId="2" borderId="0" xfId="0" quotePrefix="1" applyNumberFormat="1" applyFont="1" applyFill="1" applyAlignment="1">
      <alignment horizontal="center" vertical="center"/>
    </xf>
    <xf numFmtId="1" fontId="20" fillId="2" borderId="0" xfId="0" applyNumberFormat="1" applyFont="1" applyFill="1" applyAlignment="1">
      <alignment vertical="center"/>
    </xf>
    <xf numFmtId="167" fontId="11" fillId="2" borderId="0" xfId="0" applyNumberFormat="1" applyFont="1" applyFill="1" applyAlignment="1">
      <alignment horizontal="right" vertical="center"/>
    </xf>
    <xf numFmtId="165" fontId="11" fillId="2" borderId="1" xfId="0" applyNumberFormat="1" applyFont="1" applyFill="1" applyBorder="1" applyAlignment="1">
      <alignment horizontal="right" vertical="center"/>
    </xf>
    <xf numFmtId="167" fontId="11" fillId="2" borderId="1" xfId="0" applyNumberFormat="1" applyFont="1" applyFill="1" applyBorder="1" applyAlignment="1">
      <alignment horizontal="right" vertical="center"/>
    </xf>
    <xf numFmtId="0" fontId="13" fillId="2" borderId="1" xfId="0" applyFont="1" applyFill="1" applyBorder="1" applyAlignment="1">
      <alignment horizontal="left" vertical="center"/>
    </xf>
    <xf numFmtId="1" fontId="20" fillId="2" borderId="1" xfId="0" applyNumberFormat="1" applyFont="1" applyFill="1" applyBorder="1" applyAlignment="1">
      <alignment horizontal="left" vertical="center"/>
    </xf>
    <xf numFmtId="1" fontId="20" fillId="2" borderId="1" xfId="0" quotePrefix="1" applyNumberFormat="1" applyFont="1" applyFill="1" applyBorder="1" applyAlignment="1">
      <alignment horizontal="center" vertical="center"/>
    </xf>
    <xf numFmtId="1" fontId="21" fillId="2" borderId="1" xfId="0" applyNumberFormat="1" applyFont="1" applyFill="1" applyBorder="1" applyAlignment="1">
      <alignment horizontal="center" vertical="center"/>
    </xf>
    <xf numFmtId="2" fontId="20" fillId="2" borderId="0" xfId="0" applyNumberFormat="1" applyFont="1" applyFill="1" applyAlignment="1">
      <alignment horizontal="left" vertical="center"/>
    </xf>
    <xf numFmtId="0" fontId="13" fillId="2" borderId="0" xfId="0" applyFont="1" applyFill="1" applyAlignment="1">
      <alignment horizontal="center"/>
    </xf>
    <xf numFmtId="165" fontId="22" fillId="2" borderId="0" xfId="0" applyNumberFormat="1" applyFont="1" applyFill="1" applyAlignment="1">
      <alignment horizontal="left" vertical="center"/>
    </xf>
    <xf numFmtId="0" fontId="2" fillId="2" borderId="0" xfId="0" applyFont="1" applyFill="1" applyAlignment="1">
      <alignment vertical="center"/>
    </xf>
    <xf numFmtId="165" fontId="14" fillId="2" borderId="0" xfId="0" applyNumberFormat="1" applyFont="1" applyFill="1" applyAlignment="1">
      <alignment horizontal="right" vertical="center"/>
    </xf>
    <xf numFmtId="2" fontId="20" fillId="2" borderId="1" xfId="0" applyNumberFormat="1" applyFont="1" applyFill="1" applyBorder="1" applyAlignment="1">
      <alignment horizontal="left" vertical="center"/>
    </xf>
    <xf numFmtId="0" fontId="13" fillId="2" borderId="1" xfId="0" applyFont="1" applyFill="1" applyBorder="1" applyAlignment="1">
      <alignment horizontal="center" vertical="center"/>
    </xf>
    <xf numFmtId="0" fontId="14" fillId="2" borderId="1" xfId="0" applyFont="1" applyFill="1" applyBorder="1" applyAlignment="1">
      <alignment horizontal="right" vertical="center"/>
    </xf>
    <xf numFmtId="167" fontId="14" fillId="2" borderId="1" xfId="0" applyNumberFormat="1" applyFont="1" applyFill="1" applyBorder="1" applyAlignment="1">
      <alignment horizontal="right" vertical="center"/>
    </xf>
    <xf numFmtId="165" fontId="14" fillId="2" borderId="1" xfId="0" applyNumberFormat="1" applyFont="1" applyFill="1" applyBorder="1" applyAlignment="1">
      <alignment horizontal="right" vertical="center"/>
    </xf>
    <xf numFmtId="0" fontId="13" fillId="2" borderId="0" xfId="0" applyFont="1" applyFill="1" applyAlignment="1">
      <alignment horizontal="center" vertical="center"/>
    </xf>
    <xf numFmtId="0" fontId="14" fillId="2" borderId="0" xfId="0" applyFont="1" applyFill="1" applyAlignment="1">
      <alignment horizontal="right" vertical="center"/>
    </xf>
    <xf numFmtId="167" fontId="14" fillId="2" borderId="0" xfId="0" applyNumberFormat="1" applyFont="1" applyFill="1" applyAlignment="1">
      <alignment horizontal="right" vertical="center"/>
    </xf>
    <xf numFmtId="0" fontId="22" fillId="2" borderId="0" xfId="0" applyFont="1" applyFill="1" applyAlignment="1">
      <alignment horizontal="left" vertical="center"/>
    </xf>
    <xf numFmtId="2" fontId="2" fillId="2" borderId="0" xfId="0" applyNumberFormat="1" applyFont="1" applyFill="1" applyAlignment="1">
      <alignment horizontal="left" vertical="center"/>
    </xf>
    <xf numFmtId="0" fontId="2" fillId="2" borderId="0" xfId="0" applyFont="1" applyFill="1" applyAlignment="1">
      <alignment horizontal="center" vertical="center"/>
    </xf>
    <xf numFmtId="165" fontId="22" fillId="2" borderId="0" xfId="0" quotePrefix="1" applyNumberFormat="1" applyFont="1" applyFill="1" applyAlignment="1">
      <alignment horizontal="left" vertical="center"/>
    </xf>
    <xf numFmtId="0" fontId="13" fillId="2" borderId="1" xfId="0" applyFont="1" applyFill="1" applyBorder="1" applyAlignment="1">
      <alignment horizontal="right" vertical="center"/>
    </xf>
    <xf numFmtId="0" fontId="13" fillId="2" borderId="0" xfId="0" applyFont="1" applyFill="1" applyAlignment="1">
      <alignment horizontal="right" vertical="center"/>
    </xf>
    <xf numFmtId="1" fontId="11" fillId="2" borderId="0" xfId="0" applyNumberFormat="1" applyFont="1" applyFill="1"/>
    <xf numFmtId="0" fontId="11" fillId="2" borderId="0" xfId="0" applyFont="1" applyFill="1"/>
    <xf numFmtId="0" fontId="11" fillId="2" borderId="0" xfId="0" applyFont="1" applyFill="1" applyAlignment="1">
      <alignment horizontal="right"/>
    </xf>
    <xf numFmtId="0" fontId="11" fillId="2" borderId="0" xfId="0" applyFont="1" applyFill="1" applyAlignment="1">
      <alignment horizontal="left"/>
    </xf>
    <xf numFmtId="0" fontId="11" fillId="2" borderId="0" xfId="0" applyFont="1" applyFill="1" applyAlignment="1">
      <alignment horizontal="center" vertical="center"/>
    </xf>
    <xf numFmtId="0" fontId="11" fillId="2" borderId="0" xfId="0" quotePrefix="1" applyFont="1" applyFill="1" applyAlignment="1">
      <alignment horizontal="left"/>
    </xf>
    <xf numFmtId="164" fontId="15" fillId="2" borderId="0" xfId="8" applyFont="1" applyFill="1" applyAlignment="1">
      <alignment horizontal="left" vertical="center"/>
    </xf>
    <xf numFmtId="164" fontId="19" fillId="2" borderId="0" xfId="8" applyFont="1" applyFill="1" applyAlignment="1">
      <alignment horizontal="centerContinuous" vertical="center"/>
    </xf>
    <xf numFmtId="2" fontId="15" fillId="2" borderId="0" xfId="8" applyNumberFormat="1" applyFont="1" applyFill="1" applyAlignment="1">
      <alignment horizontal="centerContinuous" vertical="center"/>
    </xf>
    <xf numFmtId="2" fontId="19" fillId="2" borderId="0" xfId="8" applyNumberFormat="1" applyFont="1" applyFill="1" applyAlignment="1">
      <alignment horizontal="centerContinuous" vertical="center"/>
    </xf>
    <xf numFmtId="164" fontId="17" fillId="2" borderId="0" xfId="8" applyFont="1" applyFill="1" applyAlignment="1">
      <alignment horizontal="centerContinuous"/>
    </xf>
    <xf numFmtId="1" fontId="20" fillId="2" borderId="1" xfId="8" quotePrefix="1" applyNumberFormat="1" applyFont="1" applyFill="1" applyBorder="1" applyAlignment="1">
      <alignment horizontal="center" vertical="center"/>
    </xf>
    <xf numFmtId="2" fontId="2" fillId="2" borderId="0" xfId="8" applyNumberFormat="1" applyFont="1" applyFill="1" applyAlignment="1">
      <alignment horizontal="left" vertical="center"/>
    </xf>
    <xf numFmtId="164" fontId="2" fillId="2" borderId="0" xfId="8" applyFont="1" applyFill="1" applyAlignment="1">
      <alignment horizontal="center" vertical="center"/>
    </xf>
    <xf numFmtId="1" fontId="11" fillId="2" borderId="0" xfId="8" applyNumberFormat="1" applyFont="1" applyFill="1" applyAlignment="1">
      <alignment vertical="center"/>
    </xf>
    <xf numFmtId="164" fontId="24" fillId="2" borderId="0" xfId="8" applyFont="1" applyFill="1" applyAlignment="1">
      <alignment horizontal="left" vertical="center"/>
    </xf>
    <xf numFmtId="164" fontId="24" fillId="2" borderId="0" xfId="8" applyFont="1" applyFill="1" applyAlignment="1">
      <alignment horizontal="center" vertical="center"/>
    </xf>
    <xf numFmtId="164" fontId="24" fillId="2" borderId="0" xfId="8" applyFont="1" applyFill="1" applyAlignment="1">
      <alignment horizontal="right" vertical="center"/>
    </xf>
    <xf numFmtId="164" fontId="24" fillId="2" borderId="0" xfId="8" applyFont="1" applyFill="1" applyAlignment="1">
      <alignment vertical="center"/>
    </xf>
    <xf numFmtId="164" fontId="23" fillId="2" borderId="0" xfId="8" applyFont="1" applyFill="1"/>
    <xf numFmtId="164" fontId="6" fillId="2" borderId="0" xfId="8" quotePrefix="1" applyFont="1" applyFill="1" applyAlignment="1">
      <alignment horizontal="left"/>
    </xf>
    <xf numFmtId="2" fontId="6" fillId="2" borderId="0" xfId="8" applyNumberFormat="1" applyFont="1" applyFill="1" applyAlignment="1">
      <alignment horizontal="right"/>
    </xf>
    <xf numFmtId="164" fontId="6" fillId="2" borderId="0" xfId="8" applyFont="1" applyFill="1" applyAlignment="1">
      <alignment horizontal="left"/>
    </xf>
    <xf numFmtId="168" fontId="11" fillId="2" borderId="0" xfId="8" applyNumberFormat="1" applyFont="1" applyFill="1" applyAlignment="1">
      <alignment horizontal="right" vertical="center"/>
    </xf>
    <xf numFmtId="1" fontId="21" fillId="2" borderId="1" xfId="8" applyNumberFormat="1" applyFont="1" applyFill="1" applyBorder="1" applyAlignment="1">
      <alignment horizontal="right" vertical="center"/>
    </xf>
    <xf numFmtId="165" fontId="11" fillId="2" borderId="0" xfId="8" applyNumberFormat="1" applyFont="1" applyFill="1" applyAlignment="1">
      <alignment vertical="center"/>
    </xf>
    <xf numFmtId="0" fontId="0" fillId="4" borderId="3" xfId="0" applyFill="1" applyBorder="1"/>
    <xf numFmtId="0" fontId="30" fillId="4" borderId="3" xfId="0" applyFont="1" applyFill="1" applyBorder="1"/>
    <xf numFmtId="44" fontId="26" fillId="0" borderId="0" xfId="4" applyFont="1"/>
    <xf numFmtId="44" fontId="0" fillId="0" borderId="0" xfId="0" applyNumberFormat="1"/>
    <xf numFmtId="44" fontId="26" fillId="4" borderId="0" xfId="4" applyFont="1" applyFill="1" applyBorder="1" applyAlignment="1" applyProtection="1">
      <alignment horizontal="center"/>
    </xf>
    <xf numFmtId="0" fontId="30" fillId="4" borderId="0" xfId="0" applyFont="1" applyFill="1"/>
    <xf numFmtId="0" fontId="0" fillId="0" borderId="3" xfId="0" applyBorder="1"/>
    <xf numFmtId="0" fontId="30" fillId="0" borderId="3" xfId="0" applyFont="1" applyBorder="1"/>
    <xf numFmtId="44" fontId="26" fillId="7" borderId="3" xfId="4" applyFont="1" applyFill="1" applyBorder="1"/>
    <xf numFmtId="0" fontId="0" fillId="5" borderId="3" xfId="0" applyFill="1" applyBorder="1"/>
    <xf numFmtId="0" fontId="0" fillId="6" borderId="3" xfId="0" applyFill="1" applyBorder="1"/>
    <xf numFmtId="9" fontId="26" fillId="6" borderId="3" xfId="14" applyFont="1" applyFill="1" applyBorder="1" applyAlignment="1"/>
    <xf numFmtId="171" fontId="26" fillId="7" borderId="3" xfId="14" applyNumberFormat="1" applyFont="1" applyFill="1" applyBorder="1" applyAlignment="1"/>
    <xf numFmtId="0" fontId="27" fillId="4" borderId="0" xfId="0" applyFont="1" applyFill="1"/>
    <xf numFmtId="44" fontId="26" fillId="5" borderId="3" xfId="4" applyFont="1" applyFill="1" applyBorder="1" applyAlignment="1"/>
    <xf numFmtId="44" fontId="26" fillId="6" borderId="3" xfId="4" applyFont="1" applyFill="1" applyBorder="1" applyAlignment="1"/>
    <xf numFmtId="0" fontId="34" fillId="4" borderId="0" xfId="0" applyFont="1" applyFill="1"/>
    <xf numFmtId="171" fontId="0" fillId="0" borderId="0" xfId="14" applyNumberFormat="1" applyFont="1"/>
    <xf numFmtId="44" fontId="26" fillId="6" borderId="3" xfId="4" applyFont="1" applyFill="1" applyBorder="1"/>
    <xf numFmtId="17" fontId="0" fillId="0" borderId="3" xfId="0" applyNumberFormat="1" applyBorder="1"/>
    <xf numFmtId="171" fontId="0" fillId="0" borderId="3" xfId="14" applyNumberFormat="1" applyFont="1" applyBorder="1" applyAlignment="1"/>
    <xf numFmtId="0" fontId="37" fillId="0" borderId="0" xfId="0" applyFont="1" applyAlignment="1">
      <alignment vertical="center"/>
    </xf>
    <xf numFmtId="44" fontId="26" fillId="0" borderId="0" xfId="4" applyFont="1" applyFill="1" applyBorder="1" applyAlignment="1"/>
    <xf numFmtId="3" fontId="0" fillId="8" borderId="11" xfId="0" applyNumberFormat="1" applyFill="1" applyBorder="1"/>
    <xf numFmtId="9" fontId="0" fillId="5" borderId="11" xfId="14" applyFont="1" applyFill="1" applyBorder="1"/>
    <xf numFmtId="3" fontId="0" fillId="8" borderId="12" xfId="0" applyNumberFormat="1" applyFill="1" applyBorder="1"/>
    <xf numFmtId="9" fontId="0" fillId="5" borderId="12" xfId="14" applyFont="1" applyFill="1" applyBorder="1"/>
    <xf numFmtId="0" fontId="30" fillId="0" borderId="0" xfId="0" applyFont="1"/>
    <xf numFmtId="0" fontId="0" fillId="4" borderId="3" xfId="0" applyFill="1" applyBorder="1" applyAlignment="1">
      <alignment vertical="top"/>
    </xf>
    <xf numFmtId="0" fontId="0" fillId="4" borderId="3" xfId="0" applyFill="1" applyBorder="1" applyAlignment="1">
      <alignment vertical="top" wrapText="1"/>
    </xf>
    <xf numFmtId="10" fontId="26" fillId="6" borderId="3" xfId="14" applyNumberFormat="1" applyFont="1" applyFill="1" applyBorder="1" applyAlignment="1"/>
    <xf numFmtId="0" fontId="38" fillId="0" borderId="0" xfId="0" applyFont="1" applyAlignment="1">
      <alignment wrapText="1"/>
    </xf>
    <xf numFmtId="0" fontId="30" fillId="0" borderId="3" xfId="0" applyFont="1" applyBorder="1" applyAlignment="1">
      <alignment wrapText="1"/>
    </xf>
    <xf numFmtId="3" fontId="0" fillId="9" borderId="11" xfId="0" applyNumberFormat="1" applyFill="1" applyBorder="1"/>
    <xf numFmtId="0" fontId="30" fillId="9" borderId="3" xfId="0" applyFont="1" applyFill="1" applyBorder="1"/>
    <xf numFmtId="3" fontId="0" fillId="0" borderId="3" xfId="0" applyNumberFormat="1" applyBorder="1"/>
    <xf numFmtId="3" fontId="0" fillId="5" borderId="3" xfId="0" applyNumberFormat="1" applyFill="1" applyBorder="1"/>
    <xf numFmtId="3" fontId="0" fillId="5" borderId="9" xfId="0" applyNumberFormat="1" applyFill="1" applyBorder="1"/>
    <xf numFmtId="0" fontId="0" fillId="0" borderId="3" xfId="0" applyBorder="1" applyAlignment="1">
      <alignment vertical="top"/>
    </xf>
    <xf numFmtId="0" fontId="0" fillId="0" borderId="13" xfId="0" applyBorder="1" applyAlignment="1">
      <alignment vertical="top"/>
    </xf>
    <xf numFmtId="3" fontId="0" fillId="5" borderId="5" xfId="0" applyNumberFormat="1" applyFill="1" applyBorder="1"/>
    <xf numFmtId="3" fontId="0" fillId="5" borderId="9" xfId="0" applyNumberFormat="1" applyFill="1" applyBorder="1" applyAlignment="1">
      <alignment horizontal="right"/>
    </xf>
    <xf numFmtId="9" fontId="0" fillId="5" borderId="3" xfId="14" applyFont="1" applyFill="1" applyBorder="1"/>
    <xf numFmtId="3" fontId="0" fillId="8" borderId="3" xfId="0" applyNumberFormat="1" applyFill="1" applyBorder="1"/>
    <xf numFmtId="3" fontId="0" fillId="9" borderId="3" xfId="0" applyNumberFormat="1" applyFill="1" applyBorder="1"/>
    <xf numFmtId="0" fontId="0" fillId="4" borderId="17" xfId="0" applyFill="1" applyBorder="1" applyAlignment="1">
      <alignment vertical="top"/>
    </xf>
    <xf numFmtId="0" fontId="0" fillId="4" borderId="18" xfId="0" applyFill="1" applyBorder="1" applyAlignment="1">
      <alignment vertical="top"/>
    </xf>
    <xf numFmtId="0" fontId="0" fillId="4" borderId="17" xfId="0" applyFill="1" applyBorder="1"/>
    <xf numFmtId="3" fontId="0" fillId="8" borderId="18" xfId="0" applyNumberFormat="1" applyFill="1" applyBorder="1"/>
    <xf numFmtId="0" fontId="30" fillId="4" borderId="19" xfId="0" applyFont="1" applyFill="1" applyBorder="1"/>
    <xf numFmtId="0" fontId="30" fillId="9" borderId="20" xfId="0" applyFont="1" applyFill="1" applyBorder="1"/>
    <xf numFmtId="9" fontId="30" fillId="8" borderId="20" xfId="14" applyFont="1" applyFill="1" applyBorder="1"/>
    <xf numFmtId="3" fontId="30" fillId="8" borderId="20" xfId="0" applyNumberFormat="1" applyFont="1" applyFill="1" applyBorder="1"/>
    <xf numFmtId="3" fontId="30" fillId="8" borderId="21" xfId="0" applyNumberFormat="1" applyFont="1" applyFill="1" applyBorder="1"/>
    <xf numFmtId="0" fontId="0" fillId="0" borderId="17" xfId="0" applyBorder="1"/>
    <xf numFmtId="1" fontId="0" fillId="4" borderId="3" xfId="0" applyNumberFormat="1" applyFill="1" applyBorder="1"/>
    <xf numFmtId="1" fontId="26" fillId="6" borderId="3" xfId="4" applyNumberFormat="1" applyFont="1" applyFill="1" applyBorder="1" applyAlignment="1"/>
    <xf numFmtId="0" fontId="0" fillId="0" borderId="0" xfId="0" applyAlignment="1">
      <alignment vertical="center"/>
    </xf>
    <xf numFmtId="0" fontId="40" fillId="0" borderId="0" xfId="0" applyFont="1" applyAlignment="1">
      <alignment vertical="center" wrapText="1"/>
    </xf>
    <xf numFmtId="3" fontId="0" fillId="5" borderId="3" xfId="0" applyNumberFormat="1" applyFill="1" applyBorder="1" applyAlignment="1">
      <alignment horizontal="right"/>
    </xf>
    <xf numFmtId="0" fontId="27" fillId="4" borderId="0" xfId="0" applyFont="1" applyFill="1" applyAlignment="1">
      <alignment horizontal="center"/>
    </xf>
    <xf numFmtId="0" fontId="0" fillId="4" borderId="0" xfId="0" applyFill="1" applyAlignment="1">
      <alignment horizontal="center"/>
    </xf>
    <xf numFmtId="0" fontId="0" fillId="4" borderId="1" xfId="0" applyFill="1" applyBorder="1" applyAlignment="1">
      <alignment horizontal="center"/>
    </xf>
    <xf numFmtId="0" fontId="0" fillId="4" borderId="0" xfId="0" applyFill="1" applyAlignment="1">
      <alignment horizontal="left" vertical="top"/>
    </xf>
    <xf numFmtId="0" fontId="31" fillId="4" borderId="0" xfId="0" applyFont="1" applyFill="1"/>
    <xf numFmtId="0" fontId="32" fillId="4" borderId="0" xfId="0" applyFont="1" applyFill="1"/>
    <xf numFmtId="0" fontId="32" fillId="4" borderId="0" xfId="0" applyFont="1" applyFill="1" applyAlignment="1">
      <alignment horizontal="center" vertical="top"/>
    </xf>
    <xf numFmtId="0" fontId="35" fillId="4" borderId="0" xfId="0" applyFont="1" applyFill="1"/>
    <xf numFmtId="3" fontId="32" fillId="4" borderId="0" xfId="0" applyNumberFormat="1" applyFont="1" applyFill="1" applyAlignment="1">
      <alignment horizontal="center"/>
    </xf>
    <xf numFmtId="169" fontId="33" fillId="4" borderId="0" xfId="0" applyNumberFormat="1" applyFont="1" applyFill="1" applyAlignment="1">
      <alignment horizontal="center"/>
    </xf>
    <xf numFmtId="3" fontId="31" fillId="4" borderId="0" xfId="0" applyNumberFormat="1" applyFont="1" applyFill="1" applyAlignment="1">
      <alignment horizontal="center"/>
    </xf>
    <xf numFmtId="166" fontId="0" fillId="4" borderId="0" xfId="0" applyNumberFormat="1" applyFill="1"/>
    <xf numFmtId="166" fontId="30" fillId="4" borderId="0" xfId="0" applyNumberFormat="1" applyFont="1" applyFill="1"/>
    <xf numFmtId="0" fontId="26" fillId="0" borderId="0" xfId="0" applyFont="1" applyAlignment="1">
      <alignment wrapText="1"/>
    </xf>
    <xf numFmtId="0" fontId="28" fillId="4" borderId="0" xfId="5" applyFill="1" applyBorder="1" applyAlignment="1" applyProtection="1">
      <alignment horizontal="center"/>
    </xf>
    <xf numFmtId="0" fontId="0" fillId="4" borderId="0" xfId="0" applyFill="1" applyAlignment="1">
      <alignment horizontal="left" vertical="top" wrapText="1"/>
    </xf>
    <xf numFmtId="3" fontId="0" fillId="0" borderId="0" xfId="0" applyNumberFormat="1"/>
    <xf numFmtId="0" fontId="0" fillId="4" borderId="0" xfId="0" applyFill="1" applyProtection="1">
      <protection locked="0"/>
    </xf>
    <xf numFmtId="0" fontId="41" fillId="4" borderId="0" xfId="0" applyFont="1" applyFill="1"/>
    <xf numFmtId="0" fontId="47" fillId="4" borderId="0" xfId="0" applyFont="1" applyFill="1"/>
    <xf numFmtId="0" fontId="44" fillId="4" borderId="0" xfId="5" applyFont="1" applyFill="1" applyBorder="1" applyAlignment="1" applyProtection="1">
      <alignment horizontal="center"/>
    </xf>
    <xf numFmtId="0" fontId="44" fillId="4" borderId="0" xfId="5" applyFont="1" applyFill="1" applyBorder="1" applyProtection="1"/>
    <xf numFmtId="0" fontId="41" fillId="0" borderId="0" xfId="0" applyFont="1" applyAlignment="1">
      <alignment wrapText="1"/>
    </xf>
    <xf numFmtId="0" fontId="41" fillId="0" borderId="0" xfId="0" applyFont="1"/>
    <xf numFmtId="0" fontId="49" fillId="10" borderId="23" xfId="0" applyFont="1" applyFill="1" applyBorder="1"/>
    <xf numFmtId="0" fontId="49" fillId="10" borderId="25" xfId="0" applyFont="1" applyFill="1" applyBorder="1" applyAlignment="1">
      <alignment horizontal="right" vertical="center"/>
    </xf>
    <xf numFmtId="0" fontId="49" fillId="10" borderId="26" xfId="0" applyFont="1" applyFill="1" applyBorder="1" applyAlignment="1">
      <alignment horizontal="left" wrapText="1"/>
    </xf>
    <xf numFmtId="0" fontId="50" fillId="10" borderId="27" xfId="0" applyFont="1" applyFill="1" applyBorder="1" applyAlignment="1">
      <alignment horizontal="left" vertical="center"/>
    </xf>
    <xf numFmtId="0" fontId="50" fillId="10" borderId="28" xfId="0" applyFont="1" applyFill="1" applyBorder="1" applyAlignment="1">
      <alignment horizontal="right" vertical="center" wrapText="1"/>
    </xf>
    <xf numFmtId="0" fontId="50" fillId="10" borderId="28" xfId="0" applyFont="1" applyFill="1" applyBorder="1" applyAlignment="1">
      <alignment horizontal="center" vertical="center" wrapText="1"/>
    </xf>
    <xf numFmtId="0" fontId="50" fillId="10" borderId="29" xfId="0" applyFont="1" applyFill="1" applyBorder="1" applyAlignment="1">
      <alignment horizontal="right" vertical="center" wrapText="1"/>
    </xf>
    <xf numFmtId="0" fontId="42" fillId="0" borderId="3" xfId="0" applyFont="1" applyBorder="1"/>
    <xf numFmtId="170" fontId="41" fillId="0" borderId="3" xfId="4" applyNumberFormat="1" applyFont="1" applyFill="1" applyBorder="1" applyAlignment="1" applyProtection="1">
      <alignment horizontal="center"/>
      <protection hidden="1"/>
    </xf>
    <xf numFmtId="9" fontId="47" fillId="11" borderId="3" xfId="14" applyFont="1" applyFill="1" applyBorder="1" applyAlignment="1" applyProtection="1">
      <alignment horizontal="center"/>
      <protection locked="0"/>
    </xf>
    <xf numFmtId="0" fontId="46" fillId="0" borderId="3" xfId="0" applyFont="1" applyBorder="1"/>
    <xf numFmtId="170" fontId="47" fillId="0" borderId="3" xfId="4" applyNumberFormat="1" applyFont="1" applyBorder="1" applyAlignment="1" applyProtection="1">
      <alignment horizontal="center"/>
      <protection hidden="1"/>
    </xf>
    <xf numFmtId="170" fontId="47" fillId="0" borderId="3" xfId="4" applyNumberFormat="1" applyFont="1" applyBorder="1" applyAlignment="1" applyProtection="1">
      <alignment horizontal="center"/>
    </xf>
    <xf numFmtId="0" fontId="41" fillId="4" borderId="3" xfId="0" applyFont="1" applyFill="1" applyBorder="1" applyAlignment="1">
      <alignment wrapText="1"/>
    </xf>
    <xf numFmtId="0" fontId="41" fillId="4" borderId="3" xfId="0" applyFont="1" applyFill="1" applyBorder="1"/>
    <xf numFmtId="0" fontId="41" fillId="11" borderId="3" xfId="0" applyFont="1" applyFill="1" applyBorder="1" applyAlignment="1" applyProtection="1">
      <alignment horizontal="right" vertical="center"/>
      <protection locked="0"/>
    </xf>
    <xf numFmtId="170" fontId="41" fillId="11" borderId="3" xfId="4" applyNumberFormat="1" applyFont="1" applyFill="1" applyBorder="1" applyAlignment="1" applyProtection="1">
      <alignment horizontal="right" vertical="center"/>
      <protection locked="0"/>
    </xf>
    <xf numFmtId="0" fontId="44" fillId="4" borderId="0" xfId="5" applyFont="1" applyFill="1"/>
    <xf numFmtId="0" fontId="0" fillId="13" borderId="0" xfId="0" applyFill="1"/>
    <xf numFmtId="0" fontId="41" fillId="12" borderId="36" xfId="0" applyFont="1" applyFill="1" applyBorder="1" applyAlignment="1">
      <alignment horizontal="center" vertical="center"/>
    </xf>
    <xf numFmtId="0" fontId="51" fillId="12" borderId="36" xfId="0" applyFont="1" applyFill="1" applyBorder="1" applyAlignment="1">
      <alignment horizontal="left" vertical="center"/>
    </xf>
    <xf numFmtId="0" fontId="51" fillId="12" borderId="36" xfId="0" applyFont="1" applyFill="1" applyBorder="1" applyAlignment="1">
      <alignment horizontal="left" vertical="center" wrapText="1"/>
    </xf>
    <xf numFmtId="0" fontId="51" fillId="12" borderId="37" xfId="0" applyFont="1" applyFill="1" applyBorder="1" applyAlignment="1">
      <alignment horizontal="left" vertical="center" wrapText="1"/>
    </xf>
    <xf numFmtId="0" fontId="0" fillId="0" borderId="38" xfId="0" applyBorder="1"/>
    <xf numFmtId="0" fontId="41" fillId="12" borderId="36" xfId="0" applyFont="1" applyFill="1" applyBorder="1" applyAlignment="1">
      <alignment horizontal="left" vertical="center"/>
    </xf>
    <xf numFmtId="0" fontId="51" fillId="0" borderId="43" xfId="0" applyFont="1" applyBorder="1" applyAlignment="1">
      <alignment horizontal="left" vertical="center"/>
    </xf>
    <xf numFmtId="0" fontId="51" fillId="0" borderId="43" xfId="0" applyFont="1" applyBorder="1" applyAlignment="1">
      <alignment horizontal="left" vertical="center" wrapText="1"/>
    </xf>
    <xf numFmtId="0" fontId="41" fillId="0" borderId="43" xfId="0" applyFont="1" applyBorder="1" applyAlignment="1">
      <alignment horizontal="left" vertical="center"/>
    </xf>
    <xf numFmtId="0" fontId="52" fillId="4" borderId="0" xfId="0" applyFont="1" applyFill="1"/>
    <xf numFmtId="0" fontId="53" fillId="4" borderId="0" xfId="0" applyFont="1" applyFill="1"/>
    <xf numFmtId="0" fontId="51" fillId="0" borderId="39" xfId="0" applyFont="1" applyBorder="1" applyAlignment="1">
      <alignment horizontal="center" vertical="center"/>
    </xf>
    <xf numFmtId="0" fontId="0" fillId="13" borderId="0" xfId="0" applyFill="1" applyAlignment="1">
      <alignment horizontal="center"/>
    </xf>
    <xf numFmtId="0" fontId="41" fillId="0" borderId="38" xfId="0" applyFont="1" applyBorder="1" applyAlignment="1">
      <alignment horizontal="center" vertical="center"/>
    </xf>
    <xf numFmtId="14" fontId="41" fillId="0" borderId="38" xfId="0" applyNumberFormat="1" applyFont="1" applyBorder="1" applyAlignment="1">
      <alignment horizontal="center" vertical="center"/>
    </xf>
    <xf numFmtId="0" fontId="41" fillId="0" borderId="38" xfId="0" applyFont="1" applyBorder="1" applyAlignment="1">
      <alignment horizontal="center" vertical="center" wrapText="1"/>
    </xf>
    <xf numFmtId="0" fontId="0" fillId="13" borderId="0" xfId="0" applyFill="1" applyAlignment="1">
      <alignment horizontal="center" vertical="center"/>
    </xf>
    <xf numFmtId="0" fontId="54" fillId="0" borderId="38" xfId="0" applyFont="1" applyBorder="1" applyAlignment="1">
      <alignment horizontal="center" vertical="center" wrapText="1"/>
    </xf>
    <xf numFmtId="0" fontId="51" fillId="0" borderId="43" xfId="0" applyFont="1" applyBorder="1" applyAlignment="1">
      <alignment horizontal="center" vertical="center"/>
    </xf>
    <xf numFmtId="14" fontId="51" fillId="0" borderId="43" xfId="0" applyNumberFormat="1" applyFont="1" applyBorder="1" applyAlignment="1">
      <alignment horizontal="center" vertical="center" wrapText="1"/>
    </xf>
    <xf numFmtId="0" fontId="41" fillId="0" borderId="43" xfId="0" applyFont="1" applyBorder="1" applyAlignment="1">
      <alignment horizontal="center" vertical="center"/>
    </xf>
    <xf numFmtId="0" fontId="54" fillId="0" borderId="43" xfId="0" applyFont="1" applyBorder="1" applyAlignment="1">
      <alignment horizontal="center" vertical="center" wrapText="1"/>
    </xf>
    <xf numFmtId="4" fontId="0" fillId="8" borderId="22" xfId="0" applyNumberFormat="1" applyFill="1" applyBorder="1"/>
    <xf numFmtId="4" fontId="30" fillId="8" borderId="21" xfId="0" applyNumberFormat="1" applyFont="1" applyFill="1" applyBorder="1"/>
    <xf numFmtId="170" fontId="41" fillId="11" borderId="3" xfId="4" applyNumberFormat="1" applyFont="1" applyFill="1" applyBorder="1" applyAlignment="1" applyProtection="1">
      <alignment horizontal="right" vertical="center"/>
      <protection hidden="1"/>
    </xf>
    <xf numFmtId="0" fontId="41" fillId="0" borderId="0" xfId="0" applyFont="1" applyAlignment="1">
      <alignment horizontal="left" wrapText="1"/>
    </xf>
    <xf numFmtId="0" fontId="41" fillId="4" borderId="23" xfId="0" applyFont="1" applyFill="1" applyBorder="1" applyAlignment="1">
      <alignment horizontal="center" vertical="center" wrapText="1"/>
    </xf>
    <xf numFmtId="0" fontId="41" fillId="4" borderId="24" xfId="0" applyFont="1" applyFill="1" applyBorder="1" applyAlignment="1">
      <alignment horizontal="center" vertical="center" wrapText="1"/>
    </xf>
    <xf numFmtId="0" fontId="41" fillId="4" borderId="13" xfId="0" applyFont="1" applyFill="1" applyBorder="1" applyAlignment="1">
      <alignment horizontal="center" vertical="center" wrapText="1"/>
    </xf>
    <xf numFmtId="0" fontId="41" fillId="4" borderId="8" xfId="0" applyFont="1" applyFill="1" applyBorder="1" applyAlignment="1">
      <alignment horizontal="left" vertical="top" wrapText="1"/>
    </xf>
    <xf numFmtId="0" fontId="41" fillId="4" borderId="2" xfId="0" applyFont="1" applyFill="1" applyBorder="1" applyAlignment="1">
      <alignment horizontal="left" vertical="top" wrapText="1"/>
    </xf>
    <xf numFmtId="0" fontId="41" fillId="4" borderId="9" xfId="0" applyFont="1" applyFill="1" applyBorder="1" applyAlignment="1">
      <alignment horizontal="left" vertical="top" wrapText="1"/>
    </xf>
    <xf numFmtId="0" fontId="41" fillId="4" borderId="4" xfId="0" applyFont="1" applyFill="1" applyBorder="1" applyAlignment="1">
      <alignment horizontal="left" vertical="top" wrapText="1"/>
    </xf>
    <xf numFmtId="0" fontId="41" fillId="4" borderId="0" xfId="0" applyFont="1" applyFill="1" applyAlignment="1">
      <alignment horizontal="left" vertical="top" wrapText="1"/>
    </xf>
    <xf numFmtId="0" fontId="41" fillId="4" borderId="5" xfId="0" applyFont="1" applyFill="1" applyBorder="1" applyAlignment="1">
      <alignment horizontal="left" vertical="top" wrapText="1"/>
    </xf>
    <xf numFmtId="0" fontId="41" fillId="4" borderId="6" xfId="0" applyFont="1" applyFill="1" applyBorder="1" applyAlignment="1">
      <alignment horizontal="left" vertical="top" wrapText="1"/>
    </xf>
    <xf numFmtId="0" fontId="41" fillId="4" borderId="1" xfId="0" applyFont="1" applyFill="1" applyBorder="1" applyAlignment="1">
      <alignment horizontal="left" vertical="top" wrapText="1"/>
    </xf>
    <xf numFmtId="0" fontId="41" fillId="4" borderId="7" xfId="0" applyFont="1" applyFill="1" applyBorder="1" applyAlignment="1">
      <alignment horizontal="left" vertical="top" wrapText="1"/>
    </xf>
    <xf numFmtId="3" fontId="28" fillId="4" borderId="4" xfId="5" applyNumberFormat="1" applyFill="1" applyBorder="1" applyAlignment="1" applyProtection="1">
      <alignment horizontal="center" vertical="top"/>
    </xf>
    <xf numFmtId="3" fontId="28" fillId="4" borderId="0" xfId="5" applyNumberFormat="1" applyFill="1" applyBorder="1" applyAlignment="1" applyProtection="1">
      <alignment horizontal="center" vertical="top"/>
    </xf>
    <xf numFmtId="3" fontId="28" fillId="4" borderId="5" xfId="5" applyNumberFormat="1" applyFill="1" applyBorder="1" applyAlignment="1" applyProtection="1">
      <alignment horizontal="center" vertical="top"/>
    </xf>
    <xf numFmtId="0" fontId="44" fillId="4" borderId="0" xfId="5" applyFont="1" applyFill="1" applyBorder="1" applyAlignment="1" applyProtection="1">
      <alignment horizontal="center"/>
    </xf>
    <xf numFmtId="0" fontId="50" fillId="10" borderId="30" xfId="0" applyFont="1" applyFill="1" applyBorder="1" applyAlignment="1">
      <alignment horizontal="center"/>
    </xf>
    <xf numFmtId="0" fontId="50" fillId="10" borderId="31" xfId="0" applyFont="1" applyFill="1" applyBorder="1" applyAlignment="1">
      <alignment horizontal="center"/>
    </xf>
    <xf numFmtId="0" fontId="50" fillId="10" borderId="32" xfId="0" applyFont="1" applyFill="1" applyBorder="1" applyAlignment="1">
      <alignment horizontal="center"/>
    </xf>
    <xf numFmtId="0" fontId="35" fillId="4" borderId="0" xfId="0" applyFont="1" applyFill="1" applyAlignment="1">
      <alignment horizontal="left" wrapText="1"/>
    </xf>
    <xf numFmtId="3" fontId="43" fillId="4" borderId="8" xfId="0" applyNumberFormat="1" applyFont="1" applyFill="1" applyBorder="1" applyAlignment="1">
      <alignment horizontal="center" vertical="top" wrapText="1"/>
    </xf>
    <xf numFmtId="3" fontId="43" fillId="4" borderId="2" xfId="0" applyNumberFormat="1" applyFont="1" applyFill="1" applyBorder="1" applyAlignment="1">
      <alignment horizontal="center" vertical="top" wrapText="1"/>
    </xf>
    <xf numFmtId="3" fontId="43" fillId="4" borderId="9" xfId="0" applyNumberFormat="1" applyFont="1" applyFill="1" applyBorder="1" applyAlignment="1">
      <alignment horizontal="center" vertical="top" wrapText="1"/>
    </xf>
    <xf numFmtId="3" fontId="43" fillId="4" borderId="4" xfId="0" applyNumberFormat="1" applyFont="1" applyFill="1" applyBorder="1" applyAlignment="1">
      <alignment horizontal="center" vertical="top" wrapText="1"/>
    </xf>
    <xf numFmtId="3" fontId="43" fillId="4" borderId="0" xfId="0" applyNumberFormat="1" applyFont="1" applyFill="1" applyAlignment="1">
      <alignment horizontal="center" vertical="top" wrapText="1"/>
    </xf>
    <xf numFmtId="3" fontId="43" fillId="4" borderId="5" xfId="0" applyNumberFormat="1" applyFont="1" applyFill="1" applyBorder="1" applyAlignment="1">
      <alignment horizontal="center" vertical="top" wrapText="1"/>
    </xf>
    <xf numFmtId="0" fontId="41" fillId="4" borderId="4" xfId="0" applyFont="1" applyFill="1" applyBorder="1" applyAlignment="1">
      <alignment horizontal="center"/>
    </xf>
    <xf numFmtId="0" fontId="41" fillId="4" borderId="0" xfId="0" applyFont="1" applyFill="1" applyAlignment="1">
      <alignment horizontal="center"/>
    </xf>
    <xf numFmtId="0" fontId="41" fillId="4" borderId="5" xfId="0" applyFont="1" applyFill="1" applyBorder="1" applyAlignment="1">
      <alignment horizontal="center"/>
    </xf>
    <xf numFmtId="3" fontId="45" fillId="4" borderId="4" xfId="0" applyNumberFormat="1" applyFont="1" applyFill="1" applyBorder="1" applyAlignment="1">
      <alignment horizontal="center" vertical="center" wrapText="1"/>
    </xf>
    <xf numFmtId="3" fontId="45" fillId="4" borderId="0" xfId="0" applyNumberFormat="1" applyFont="1" applyFill="1" applyAlignment="1">
      <alignment horizontal="center" vertical="center" wrapText="1"/>
    </xf>
    <xf numFmtId="3" fontId="45" fillId="4" borderId="5" xfId="0" applyNumberFormat="1" applyFont="1" applyFill="1" applyBorder="1" applyAlignment="1">
      <alignment horizontal="center" vertical="center" wrapText="1"/>
    </xf>
    <xf numFmtId="3" fontId="45" fillId="4" borderId="6" xfId="0" applyNumberFormat="1" applyFont="1" applyFill="1" applyBorder="1" applyAlignment="1">
      <alignment horizontal="center" vertical="center" wrapText="1"/>
    </xf>
    <xf numFmtId="3" fontId="45" fillId="4" borderId="1" xfId="0" applyNumberFormat="1" applyFont="1" applyFill="1" applyBorder="1" applyAlignment="1">
      <alignment horizontal="center" vertical="center" wrapText="1"/>
    </xf>
    <xf numFmtId="3" fontId="45" fillId="4" borderId="7" xfId="0" applyNumberFormat="1" applyFont="1" applyFill="1" applyBorder="1" applyAlignment="1">
      <alignment horizontal="center" vertical="center" wrapText="1"/>
    </xf>
    <xf numFmtId="0" fontId="41" fillId="0" borderId="0" xfId="0" applyFont="1" applyAlignment="1">
      <alignment wrapText="1"/>
    </xf>
    <xf numFmtId="0" fontId="41" fillId="0" borderId="0" xfId="0" applyFont="1"/>
    <xf numFmtId="0" fontId="41" fillId="0" borderId="0" xfId="0" applyFont="1" applyAlignment="1">
      <alignment horizontal="justify" vertical="center" wrapText="1"/>
    </xf>
    <xf numFmtId="0" fontId="47" fillId="12" borderId="33" xfId="0" applyFont="1" applyFill="1" applyBorder="1" applyAlignment="1">
      <alignment horizontal="left"/>
    </xf>
    <xf numFmtId="0" fontId="47" fillId="12" borderId="34" xfId="0" applyFont="1" applyFill="1" applyBorder="1" applyAlignment="1">
      <alignment horizontal="left"/>
    </xf>
    <xf numFmtId="0" fontId="47" fillId="12" borderId="35" xfId="0" applyFont="1" applyFill="1" applyBorder="1" applyAlignment="1">
      <alignment horizontal="left"/>
    </xf>
    <xf numFmtId="0" fontId="47" fillId="12" borderId="40" xfId="0" applyFont="1" applyFill="1" applyBorder="1" applyAlignment="1">
      <alignment horizontal="left"/>
    </xf>
    <xf numFmtId="0" fontId="0" fillId="12" borderId="41" xfId="0" applyFill="1" applyBorder="1"/>
    <xf numFmtId="0" fontId="0" fillId="12" borderId="42" xfId="0" applyFill="1" applyBorder="1"/>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3" xfId="0" applyFont="1" applyBorder="1" applyAlignment="1">
      <alignment horizontal="center" vertical="center"/>
    </xf>
    <xf numFmtId="0" fontId="39" fillId="0" borderId="18" xfId="0" applyFont="1" applyBorder="1" applyAlignment="1">
      <alignment horizontal="center" vertical="center"/>
    </xf>
    <xf numFmtId="171" fontId="28" fillId="0" borderId="4" xfId="5" applyNumberFormat="1" applyBorder="1" applyAlignment="1">
      <alignment horizontal="left"/>
    </xf>
    <xf numFmtId="171" fontId="28" fillId="0" borderId="0" xfId="5" applyNumberFormat="1" applyAlignment="1">
      <alignment horizontal="left"/>
    </xf>
    <xf numFmtId="0" fontId="28" fillId="0" borderId="4" xfId="5" applyBorder="1" applyAlignment="1">
      <alignment horizontal="left"/>
    </xf>
    <xf numFmtId="0" fontId="28" fillId="0" borderId="0" xfId="5" applyAlignment="1">
      <alignment horizontal="left"/>
    </xf>
    <xf numFmtId="2" fontId="15" fillId="2" borderId="0" xfId="0" applyNumberFormat="1" applyFont="1" applyFill="1" applyAlignment="1">
      <alignment horizontal="center" vertical="center"/>
    </xf>
    <xf numFmtId="0" fontId="41" fillId="4" borderId="0" xfId="0" applyFont="1" applyFill="1" applyAlignment="1">
      <alignment horizontal="left" wrapText="1"/>
    </xf>
  </cellXfs>
  <cellStyles count="16">
    <cellStyle name="Comma 2" xfId="1" xr:uid="{00000000-0005-0000-0000-000000000000}"/>
    <cellStyle name="Comma 2 2" xfId="2" xr:uid="{00000000-0005-0000-0000-000001000000}"/>
    <cellStyle name="Comma 3" xfId="3" xr:uid="{00000000-0005-0000-0000-000002000000}"/>
    <cellStyle name="Currency" xfId="4" builtinId="4"/>
    <cellStyle name="Hyperlink" xfId="5" builtinId="8"/>
    <cellStyle name="Hyperlink 2" xfId="6" xr:uid="{00000000-0005-0000-0000-000005000000}"/>
    <cellStyle name="Hyperlink 3" xfId="7" xr:uid="{00000000-0005-0000-0000-000006000000}"/>
    <cellStyle name="Normal" xfId="0" builtinId="0"/>
    <cellStyle name="Normal 2" xfId="8" xr:uid="{00000000-0005-0000-0000-000008000000}"/>
    <cellStyle name="Normal 3" xfId="9" xr:uid="{00000000-0005-0000-0000-000009000000}"/>
    <cellStyle name="Normal 3 2" xfId="10" xr:uid="{00000000-0005-0000-0000-00000A000000}"/>
    <cellStyle name="Normal 3 3" xfId="11" xr:uid="{00000000-0005-0000-0000-00000B000000}"/>
    <cellStyle name="Normal 4" xfId="12" xr:uid="{00000000-0005-0000-0000-00000C000000}"/>
    <cellStyle name="Normal 5" xfId="15" xr:uid="{00000000-0005-0000-0000-00000D000000}"/>
    <cellStyle name="Note 2" xfId="13" xr:uid="{00000000-0005-0000-0000-00000E000000}"/>
    <cellStyle name="Percent" xfId="14" builtinId="5"/>
  </cellStyles>
  <dxfs count="1">
    <dxf>
      <font>
        <b/>
        <i val="0"/>
        <color theme="0"/>
      </font>
      <fill>
        <patternFill>
          <bgColor rgb="FFFF0000"/>
        </patternFill>
      </fill>
    </dxf>
  </dxfs>
  <tableStyles count="0" defaultTableStyle="TableStyleMedium2" defaultPivotStyle="PivotStyleLight16"/>
  <colors>
    <mruColors>
      <color rgb="FF00594C"/>
      <color rgb="FF0000FF"/>
      <color rgb="FFE5EDF1"/>
      <color rgb="FF307DA8"/>
      <color rgb="FF005378"/>
      <color rgb="FF9EAAAF"/>
      <color rgb="FF8295B7"/>
      <color rgb="FFFFEC7F"/>
      <color rgb="FF008416"/>
      <color rgb="FFE44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70940170940173"/>
          <c:y val="9.8009172603863839E-2"/>
          <c:w val="0.43776717814119387"/>
          <c:h val="0.83665137899356024"/>
        </c:manualLayout>
      </c:layout>
      <c:pieChart>
        <c:varyColors val="1"/>
        <c:ser>
          <c:idx val="0"/>
          <c:order val="0"/>
          <c:spPr>
            <a:ln>
              <a:solidFill>
                <a:srgbClr val="E5EDF1"/>
              </a:solidFill>
            </a:ln>
          </c:spPr>
          <c:dPt>
            <c:idx val="0"/>
            <c:bubble3D val="0"/>
            <c:spPr>
              <a:solidFill>
                <a:srgbClr val="005378"/>
              </a:solidFill>
              <a:ln>
                <a:solidFill>
                  <a:srgbClr val="E5EDF1"/>
                </a:solidFill>
              </a:ln>
            </c:spPr>
            <c:extLst>
              <c:ext xmlns:c16="http://schemas.microsoft.com/office/drawing/2014/chart" uri="{C3380CC4-5D6E-409C-BE32-E72D297353CC}">
                <c16:uniqueId val="{00000001-F3CA-45EA-B6E1-54541B90268A}"/>
              </c:ext>
            </c:extLst>
          </c:dPt>
          <c:dPt>
            <c:idx val="1"/>
            <c:bubble3D val="0"/>
            <c:spPr>
              <a:solidFill>
                <a:srgbClr val="3E5660"/>
              </a:solidFill>
              <a:ln>
                <a:solidFill>
                  <a:srgbClr val="E5EDF1"/>
                </a:solidFill>
              </a:ln>
            </c:spPr>
            <c:extLst>
              <c:ext xmlns:c16="http://schemas.microsoft.com/office/drawing/2014/chart" uri="{C3380CC4-5D6E-409C-BE32-E72D297353CC}">
                <c16:uniqueId val="{00000003-F3CA-45EA-B6E1-54541B90268A}"/>
              </c:ext>
            </c:extLst>
          </c:dPt>
          <c:dPt>
            <c:idx val="2"/>
            <c:bubble3D val="0"/>
            <c:spPr>
              <a:solidFill>
                <a:srgbClr val="FFB900"/>
              </a:solidFill>
              <a:ln>
                <a:solidFill>
                  <a:srgbClr val="E5EDF1"/>
                </a:solidFill>
              </a:ln>
            </c:spPr>
            <c:extLst>
              <c:ext xmlns:c16="http://schemas.microsoft.com/office/drawing/2014/chart" uri="{C3380CC4-5D6E-409C-BE32-E72D297353CC}">
                <c16:uniqueId val="{00000005-F3CA-45EA-B6E1-54541B90268A}"/>
              </c:ext>
            </c:extLst>
          </c:dPt>
          <c:dPt>
            <c:idx val="3"/>
            <c:bubble3D val="0"/>
            <c:spPr>
              <a:solidFill>
                <a:srgbClr val="2880BB"/>
              </a:solidFill>
              <a:ln cmpd="sng">
                <a:solidFill>
                  <a:srgbClr val="E5EDF1"/>
                </a:solidFill>
              </a:ln>
            </c:spPr>
            <c:extLst>
              <c:ext xmlns:c16="http://schemas.microsoft.com/office/drawing/2014/chart" uri="{C3380CC4-5D6E-409C-BE32-E72D297353CC}">
                <c16:uniqueId val="{00000007-F3CA-45EA-B6E1-54541B90268A}"/>
              </c:ext>
            </c:extLst>
          </c:dPt>
          <c:dPt>
            <c:idx val="4"/>
            <c:bubble3D val="0"/>
            <c:spPr>
              <a:solidFill>
                <a:srgbClr val="9EAAAF"/>
              </a:solidFill>
              <a:ln>
                <a:solidFill>
                  <a:srgbClr val="E5EDF1"/>
                </a:solidFill>
              </a:ln>
            </c:spPr>
            <c:extLst>
              <c:ext xmlns:c16="http://schemas.microsoft.com/office/drawing/2014/chart" uri="{C3380CC4-5D6E-409C-BE32-E72D297353CC}">
                <c16:uniqueId val="{00000009-F3CA-45EA-B6E1-54541B90268A}"/>
              </c:ext>
            </c:extLst>
          </c:dPt>
          <c:dPt>
            <c:idx val="5"/>
            <c:bubble3D val="0"/>
            <c:spPr>
              <a:solidFill>
                <a:srgbClr val="307DA8"/>
              </a:solidFill>
              <a:ln>
                <a:solidFill>
                  <a:srgbClr val="E5EDF1"/>
                </a:solidFill>
              </a:ln>
            </c:spPr>
            <c:extLst>
              <c:ext xmlns:c16="http://schemas.microsoft.com/office/drawing/2014/chart" uri="{C3380CC4-5D6E-409C-BE32-E72D297353CC}">
                <c16:uniqueId val="{0000000B-F3CA-45EA-B6E1-54541B90268A}"/>
              </c:ext>
            </c:extLst>
          </c:dPt>
          <c:dPt>
            <c:idx val="6"/>
            <c:bubble3D val="0"/>
            <c:spPr>
              <a:solidFill>
                <a:srgbClr val="FF8A00"/>
              </a:solidFill>
              <a:ln>
                <a:solidFill>
                  <a:srgbClr val="E5EDF1"/>
                </a:solidFill>
              </a:ln>
            </c:spPr>
            <c:extLst>
              <c:ext xmlns:c16="http://schemas.microsoft.com/office/drawing/2014/chart" uri="{C3380CC4-5D6E-409C-BE32-E72D297353CC}">
                <c16:uniqueId val="{0000000D-F3CA-45EA-B6E1-54541B90268A}"/>
              </c:ext>
            </c:extLst>
          </c:dPt>
          <c:dPt>
            <c:idx val="7"/>
            <c:bubble3D val="0"/>
            <c:spPr>
              <a:solidFill>
                <a:srgbClr val="E44A3B"/>
              </a:solidFill>
              <a:ln>
                <a:solidFill>
                  <a:srgbClr val="E5EDF1"/>
                </a:solidFill>
              </a:ln>
            </c:spPr>
            <c:extLst>
              <c:ext xmlns:c16="http://schemas.microsoft.com/office/drawing/2014/chart" uri="{C3380CC4-5D6E-409C-BE32-E72D297353CC}">
                <c16:uniqueId val="{0000000F-F3CA-45EA-B6E1-54541B90268A}"/>
              </c:ext>
            </c:extLst>
          </c:dPt>
          <c:dPt>
            <c:idx val="8"/>
            <c:bubble3D val="0"/>
            <c:spPr>
              <a:solidFill>
                <a:srgbClr val="8295B7"/>
              </a:solidFill>
              <a:ln>
                <a:solidFill>
                  <a:srgbClr val="E5EDF1"/>
                </a:solidFill>
              </a:ln>
            </c:spPr>
            <c:extLst>
              <c:ext xmlns:c16="http://schemas.microsoft.com/office/drawing/2014/chart" uri="{C3380CC4-5D6E-409C-BE32-E72D297353CC}">
                <c16:uniqueId val="{00000011-F3CA-45EA-B6E1-54541B90268A}"/>
              </c:ext>
            </c:extLst>
          </c:dPt>
          <c:dPt>
            <c:idx val="9"/>
            <c:bubble3D val="0"/>
            <c:extLst>
              <c:ext xmlns:c16="http://schemas.microsoft.com/office/drawing/2014/chart" uri="{C3380CC4-5D6E-409C-BE32-E72D297353CC}">
                <c16:uniqueId val="{00000012-F3CA-45EA-B6E1-54541B90268A}"/>
              </c:ext>
            </c:extLst>
          </c:dPt>
          <c:dPt>
            <c:idx val="10"/>
            <c:bubble3D val="0"/>
            <c:spPr>
              <a:solidFill>
                <a:srgbClr val="FFEC7F"/>
              </a:solidFill>
              <a:ln>
                <a:solidFill>
                  <a:srgbClr val="E5EDF1"/>
                </a:solidFill>
              </a:ln>
            </c:spPr>
            <c:extLst>
              <c:ext xmlns:c16="http://schemas.microsoft.com/office/drawing/2014/chart" uri="{C3380CC4-5D6E-409C-BE32-E72D297353CC}">
                <c16:uniqueId val="{00000014-F3CA-45EA-B6E1-54541B90268A}"/>
              </c:ext>
            </c:extLst>
          </c:dPt>
          <c:dPt>
            <c:idx val="11"/>
            <c:bubble3D val="0"/>
            <c:extLst>
              <c:ext xmlns:c16="http://schemas.microsoft.com/office/drawing/2014/chart" uri="{C3380CC4-5D6E-409C-BE32-E72D297353CC}">
                <c16:uniqueId val="{00000015-F3CA-45EA-B6E1-54541B90268A}"/>
              </c:ext>
            </c:extLst>
          </c:dPt>
          <c:dPt>
            <c:idx val="12"/>
            <c:bubble3D val="0"/>
            <c:spPr>
              <a:solidFill>
                <a:srgbClr val="0A2F73"/>
              </a:solidFill>
              <a:ln>
                <a:solidFill>
                  <a:srgbClr val="E5EDF1"/>
                </a:solidFill>
              </a:ln>
            </c:spPr>
            <c:extLst>
              <c:ext xmlns:c16="http://schemas.microsoft.com/office/drawing/2014/chart" uri="{C3380CC4-5D6E-409C-BE32-E72D297353CC}">
                <c16:uniqueId val="{00000017-F3CA-45EA-B6E1-54541B90268A}"/>
              </c:ext>
            </c:extLst>
          </c:dPt>
          <c:dLbls>
            <c:dLbl>
              <c:idx val="0"/>
              <c:layout>
                <c:manualLayout>
                  <c:x val="5.6022245130222234E-2"/>
                  <c:y val="6.748725374845387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A-45EA-B6E1-54541B90268A}"/>
                </c:ext>
              </c:extLst>
            </c:dLbl>
            <c:dLbl>
              <c:idx val="1"/>
              <c:layout>
                <c:manualLayout>
                  <c:x val="8.1387249992079774E-2"/>
                  <c:y val="7.645729628624008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CA-45EA-B6E1-54541B90268A}"/>
                </c:ext>
              </c:extLst>
            </c:dLbl>
            <c:dLbl>
              <c:idx val="2"/>
              <c:layout>
                <c:manualLayout>
                  <c:x val="5.9083009852954539E-2"/>
                  <c:y val="9.55229734214257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CA-45EA-B6E1-54541B90268A}"/>
                </c:ext>
              </c:extLst>
            </c:dLbl>
            <c:dLbl>
              <c:idx val="3"/>
              <c:layout>
                <c:manualLayout>
                  <c:x val="9.0670253961987343E-2"/>
                  <c:y val="9.267927715932060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3CA-45EA-B6E1-54541B90268A}"/>
                </c:ext>
              </c:extLst>
            </c:dLbl>
            <c:dLbl>
              <c:idx val="4"/>
              <c:layout>
                <c:manualLayout>
                  <c:x val="0.23380930985123585"/>
                  <c:y val="-3.6652955693971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3CA-45EA-B6E1-54541B90268A}"/>
                </c:ext>
              </c:extLst>
            </c:dLbl>
            <c:dLbl>
              <c:idx val="5"/>
              <c:layout>
                <c:manualLayout>
                  <c:x val="0.12128125940093451"/>
                  <c:y val="-2.876858769020819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CA-45EA-B6E1-54541B90268A}"/>
                </c:ext>
              </c:extLst>
            </c:dLbl>
            <c:dLbl>
              <c:idx val="6"/>
              <c:layout>
                <c:manualLayout>
                  <c:x val="-3.2373965415221084E-2"/>
                  <c:y val="9.74748305715516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3CA-45EA-B6E1-54541B90268A}"/>
                </c:ext>
              </c:extLst>
            </c:dLbl>
            <c:dLbl>
              <c:idx val="8"/>
              <c:layout>
                <c:manualLayout>
                  <c:x val="-4.6941816836653806E-2"/>
                  <c:y val="-4.96865460557908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3CA-45EA-B6E1-54541B90268A}"/>
                </c:ext>
              </c:extLst>
            </c:dLbl>
            <c:dLbl>
              <c:idx val="9"/>
              <c:layout>
                <c:manualLayout>
                  <c:x val="-7.4181379806476488E-2"/>
                  <c:y val="5.6774368721151233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3CA-45EA-B6E1-54541B90268A}"/>
                </c:ext>
              </c:extLst>
            </c:dLbl>
            <c:dLbl>
              <c:idx val="10"/>
              <c:layout>
                <c:manualLayout>
                  <c:x val="-6.2756504430234811E-2"/>
                  <c:y val="-6.063813159227824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3CA-45EA-B6E1-54541B90268A}"/>
                </c:ext>
              </c:extLst>
            </c:dLbl>
            <c:dLbl>
              <c:idx val="12"/>
              <c:layout>
                <c:manualLayout>
                  <c:x val="-4.2837886874878897E-2"/>
                  <c:y val="1.1531288585405293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3CA-45EA-B6E1-54541B90268A}"/>
                </c:ext>
              </c:extLst>
            </c:dLbl>
            <c:spPr>
              <a:noFill/>
              <a:ln w="25400">
                <a:noFill/>
              </a:ln>
            </c:spPr>
            <c:txPr>
              <a:bodyPr/>
              <a:lstStyle/>
              <a:p>
                <a:pPr>
                  <a:defRPr>
                    <a:latin typeface="Arial" panose="020B0604020202020204" pitchFamily="34" charset="0"/>
                    <a:cs typeface="Arial" panose="020B0604020202020204" pitchFamily="34" charset="0"/>
                  </a:defRPr>
                </a:pPr>
                <a:endParaRPr lang="en-US"/>
              </a:p>
            </c:txPr>
            <c:dLblPos val="bestFit"/>
            <c:showLegendKey val="0"/>
            <c:showVal val="1"/>
            <c:showCatName val="1"/>
            <c:showSerName val="0"/>
            <c:showPercent val="0"/>
            <c:showBubbleSize val="0"/>
            <c:showLeaderLines val="1"/>
            <c:extLst>
              <c:ext xmlns:c15="http://schemas.microsoft.com/office/drawing/2012/chart" uri="{CE6537A1-D6FC-4f65-9D91-7224C49458BB}"/>
            </c:extLst>
          </c:dLbls>
          <c:cat>
            <c:strRef>
              <c:f>Inputs!$B$22:$B$34</c:f>
              <c:strCache>
                <c:ptCount val="13"/>
                <c:pt idx="0">
                  <c:v>Food and non-alcoholic drinks</c:v>
                </c:pt>
                <c:pt idx="1">
                  <c:v>Alcoholic drinks, tobacco and narcotics</c:v>
                </c:pt>
                <c:pt idx="2">
                  <c:v>Clothing and footwear</c:v>
                </c:pt>
                <c:pt idx="3">
                  <c:v>Housing(net), fuel and power</c:v>
                </c:pt>
                <c:pt idx="4">
                  <c:v>Household goods and services</c:v>
                </c:pt>
                <c:pt idx="5">
                  <c:v>Health</c:v>
                </c:pt>
                <c:pt idx="6">
                  <c:v>Transport</c:v>
                </c:pt>
                <c:pt idx="7">
                  <c:v>Communication</c:v>
                </c:pt>
                <c:pt idx="8">
                  <c:v>Recreation and culture</c:v>
                </c:pt>
                <c:pt idx="9">
                  <c:v>Education</c:v>
                </c:pt>
                <c:pt idx="10">
                  <c:v>Restaurants and hotels</c:v>
                </c:pt>
                <c:pt idx="11">
                  <c:v>Miscellaneous goods and services</c:v>
                </c:pt>
                <c:pt idx="12">
                  <c:v>Other expense items</c:v>
                </c:pt>
              </c:strCache>
            </c:strRef>
          </c:cat>
          <c:val>
            <c:numRef>
              <c:f>Inputs!$E$22:$E$34</c:f>
              <c:numCache>
                <c:formatCode>_-"£"* #,##0_-;\-"£"* #,##0_-;_-"£"* "-"??_-;_-@_-</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extLst>
            <c:ext xmlns:c16="http://schemas.microsoft.com/office/drawing/2014/chart" uri="{C3380CC4-5D6E-409C-BE32-E72D297353CC}">
              <c16:uniqueId val="{00000018-F3CA-45EA-B6E1-54541B90268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16227427407534"/>
          <c:y val="0.17661839889061487"/>
          <c:w val="0.35152112295111376"/>
          <c:h val="0.75804214949321813"/>
        </c:manualLayout>
      </c:layout>
      <c:pieChart>
        <c:varyColors val="1"/>
        <c:ser>
          <c:idx val="0"/>
          <c:order val="0"/>
          <c:dPt>
            <c:idx val="0"/>
            <c:bubble3D val="0"/>
            <c:extLst>
              <c:ext xmlns:c16="http://schemas.microsoft.com/office/drawing/2014/chart" uri="{C3380CC4-5D6E-409C-BE32-E72D297353CC}">
                <c16:uniqueId val="{00000000-932F-4389-8EFD-2DBCE9411D68}"/>
              </c:ext>
            </c:extLst>
          </c:dPt>
          <c:dPt>
            <c:idx val="1"/>
            <c:bubble3D val="0"/>
            <c:extLst>
              <c:ext xmlns:c16="http://schemas.microsoft.com/office/drawing/2014/chart" uri="{C3380CC4-5D6E-409C-BE32-E72D297353CC}">
                <c16:uniqueId val="{00000001-932F-4389-8EFD-2DBCE9411D68}"/>
              </c:ext>
            </c:extLst>
          </c:dPt>
          <c:dPt>
            <c:idx val="2"/>
            <c:bubble3D val="0"/>
            <c:extLst>
              <c:ext xmlns:c16="http://schemas.microsoft.com/office/drawing/2014/chart" uri="{C3380CC4-5D6E-409C-BE32-E72D297353CC}">
                <c16:uniqueId val="{00000002-932F-4389-8EFD-2DBCE9411D68}"/>
              </c:ext>
            </c:extLst>
          </c:dPt>
          <c:dPt>
            <c:idx val="3"/>
            <c:bubble3D val="0"/>
            <c:extLst>
              <c:ext xmlns:c16="http://schemas.microsoft.com/office/drawing/2014/chart" uri="{C3380CC4-5D6E-409C-BE32-E72D297353CC}">
                <c16:uniqueId val="{00000003-932F-4389-8EFD-2DBCE9411D68}"/>
              </c:ext>
            </c:extLst>
          </c:dPt>
          <c:dPt>
            <c:idx val="4"/>
            <c:bubble3D val="0"/>
            <c:extLst>
              <c:ext xmlns:c16="http://schemas.microsoft.com/office/drawing/2014/chart" uri="{C3380CC4-5D6E-409C-BE32-E72D297353CC}">
                <c16:uniqueId val="{00000004-932F-4389-8EFD-2DBCE9411D68}"/>
              </c:ext>
            </c:extLst>
          </c:dPt>
          <c:dPt>
            <c:idx val="5"/>
            <c:bubble3D val="0"/>
            <c:extLst>
              <c:ext xmlns:c16="http://schemas.microsoft.com/office/drawing/2014/chart" uri="{C3380CC4-5D6E-409C-BE32-E72D297353CC}">
                <c16:uniqueId val="{00000005-932F-4389-8EFD-2DBCE9411D68}"/>
              </c:ext>
            </c:extLst>
          </c:dPt>
          <c:dPt>
            <c:idx val="6"/>
            <c:bubble3D val="0"/>
            <c:extLst>
              <c:ext xmlns:c16="http://schemas.microsoft.com/office/drawing/2014/chart" uri="{C3380CC4-5D6E-409C-BE32-E72D297353CC}">
                <c16:uniqueId val="{00000006-932F-4389-8EFD-2DBCE9411D68}"/>
              </c:ext>
            </c:extLst>
          </c:dPt>
          <c:dPt>
            <c:idx val="7"/>
            <c:bubble3D val="0"/>
            <c:extLst>
              <c:ext xmlns:c16="http://schemas.microsoft.com/office/drawing/2014/chart" uri="{C3380CC4-5D6E-409C-BE32-E72D297353CC}">
                <c16:uniqueId val="{00000007-932F-4389-8EFD-2DBCE9411D68}"/>
              </c:ext>
            </c:extLst>
          </c:dPt>
          <c:dPt>
            <c:idx val="8"/>
            <c:bubble3D val="0"/>
            <c:extLst>
              <c:ext xmlns:c16="http://schemas.microsoft.com/office/drawing/2014/chart" uri="{C3380CC4-5D6E-409C-BE32-E72D297353CC}">
                <c16:uniqueId val="{00000008-932F-4389-8EFD-2DBCE9411D68}"/>
              </c:ext>
            </c:extLst>
          </c:dPt>
          <c:dPt>
            <c:idx val="9"/>
            <c:bubble3D val="0"/>
            <c:extLst>
              <c:ext xmlns:c16="http://schemas.microsoft.com/office/drawing/2014/chart" uri="{C3380CC4-5D6E-409C-BE32-E72D297353CC}">
                <c16:uniqueId val="{00000009-932F-4389-8EFD-2DBCE9411D68}"/>
              </c:ext>
            </c:extLst>
          </c:dPt>
          <c:dPt>
            <c:idx val="10"/>
            <c:bubble3D val="0"/>
            <c:extLst>
              <c:ext xmlns:c16="http://schemas.microsoft.com/office/drawing/2014/chart" uri="{C3380CC4-5D6E-409C-BE32-E72D297353CC}">
                <c16:uniqueId val="{0000000A-932F-4389-8EFD-2DBCE9411D68}"/>
              </c:ext>
            </c:extLst>
          </c:dPt>
          <c:dPt>
            <c:idx val="11"/>
            <c:bubble3D val="0"/>
            <c:extLst>
              <c:ext xmlns:c16="http://schemas.microsoft.com/office/drawing/2014/chart" uri="{C3380CC4-5D6E-409C-BE32-E72D297353CC}">
                <c16:uniqueId val="{0000000B-932F-4389-8EFD-2DBCE9411D68}"/>
              </c:ext>
            </c:extLst>
          </c:dPt>
          <c:dPt>
            <c:idx val="12"/>
            <c:bubble3D val="0"/>
            <c:extLst>
              <c:ext xmlns:c16="http://schemas.microsoft.com/office/drawing/2014/chart" uri="{C3380CC4-5D6E-409C-BE32-E72D297353CC}">
                <c16:uniqueId val="{0000000C-932F-4389-8EFD-2DBCE9411D68}"/>
              </c:ext>
            </c:extLst>
          </c:dPt>
          <c:dLbls>
            <c:dLbl>
              <c:idx val="0"/>
              <c:layout>
                <c:manualLayout>
                  <c:x val="-0.10213798984906061"/>
                  <c:y val="-7.003600740383643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2F-4389-8EFD-2DBCE9411D68}"/>
                </c:ext>
              </c:extLst>
            </c:dLbl>
            <c:dLbl>
              <c:idx val="1"/>
              <c:layout>
                <c:manualLayout>
                  <c:x val="-2.0874835440522618E-3"/>
                  <c:y val="-5.772421304479797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2F-4389-8EFD-2DBCE9411D68}"/>
                </c:ext>
              </c:extLst>
            </c:dLbl>
            <c:dLbl>
              <c:idx val="3"/>
              <c:layout>
                <c:manualLayout>
                  <c:x val="6.6307105933524874E-2"/>
                  <c:y val="2.023104254825295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2F-4389-8EFD-2DBCE9411D68}"/>
                </c:ext>
              </c:extLst>
            </c:dLbl>
            <c:dLbl>
              <c:idx val="4"/>
              <c:layout>
                <c:manualLayout>
                  <c:x val="0.17449514394296928"/>
                  <c:y val="-1.27723586790457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2F-4389-8EFD-2DBCE9411D68}"/>
                </c:ext>
              </c:extLst>
            </c:dLbl>
            <c:dLbl>
              <c:idx val="5"/>
              <c:layout>
                <c:manualLayout>
                  <c:x val="0.12128125940093451"/>
                  <c:y val="-2.876858769020819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2F-4389-8EFD-2DBCE9411D68}"/>
                </c:ext>
              </c:extLst>
            </c:dLbl>
            <c:dLbl>
              <c:idx val="6"/>
              <c:layout>
                <c:manualLayout>
                  <c:x val="3.720046035255057E-2"/>
                  <c:y val="1.77076820621302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2F-4389-8EFD-2DBCE9411D68}"/>
                </c:ext>
              </c:extLst>
            </c:dLbl>
            <c:dLbl>
              <c:idx val="8"/>
              <c:layout>
                <c:manualLayout>
                  <c:x val="-4.6941816836653806E-2"/>
                  <c:y val="-4.96865460557908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2F-4389-8EFD-2DBCE9411D68}"/>
                </c:ext>
              </c:extLst>
            </c:dLbl>
            <c:dLbl>
              <c:idx val="10"/>
              <c:layout>
                <c:manualLayout>
                  <c:x val="-6.2756540290507853E-2"/>
                  <c:y val="-2.435695538057742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2F-4389-8EFD-2DBCE9411D68}"/>
                </c:ext>
              </c:extLst>
            </c:dLbl>
            <c:dLbl>
              <c:idx val="11"/>
              <c:layout>
                <c:manualLayout>
                  <c:x val="-9.1737444491362868E-2"/>
                  <c:y val="2.55796596853964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2F-4389-8EFD-2DBCE9411D68}"/>
                </c:ext>
              </c:extLst>
            </c:dLbl>
            <c:dLbl>
              <c:idx val="12"/>
              <c:layout>
                <c:manualLayout>
                  <c:x val="-4.2837886874878897E-2"/>
                  <c:y val="1.1531288585405293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2F-4389-8EFD-2DBCE9411D68}"/>
                </c:ext>
              </c:extLst>
            </c:dLbl>
            <c:spPr>
              <a:noFill/>
              <a:ln w="25400">
                <a:noFill/>
              </a:ln>
            </c:spPr>
            <c:txPr>
              <a:bodyPr/>
              <a:lstStyle/>
              <a:p>
                <a:pPr>
                  <a:defRPr>
                    <a:latin typeface="Arial" panose="020B0604020202020204" pitchFamily="34" charset="0"/>
                    <a:cs typeface="Arial" panose="020B0604020202020204" pitchFamily="34" charset="0"/>
                  </a:defRPr>
                </a:pPr>
                <a:endParaRPr lang="en-US"/>
              </a:p>
            </c:txPr>
            <c:dLblPos val="bestFit"/>
            <c:showLegendKey val="0"/>
            <c:showVal val="1"/>
            <c:showCatName val="1"/>
            <c:showSerName val="0"/>
            <c:showPercent val="0"/>
            <c:showBubbleSize val="0"/>
            <c:showLeaderLines val="1"/>
            <c:extLst>
              <c:ext xmlns:c15="http://schemas.microsoft.com/office/drawing/2012/chart" uri="{CE6537A1-D6FC-4f65-9D91-7224C49458BB}"/>
            </c:extLst>
          </c:dLbls>
          <c:cat>
            <c:strRef>
              <c:f>Inputs!$B$22:$B$34</c:f>
              <c:strCache>
                <c:ptCount val="13"/>
                <c:pt idx="0">
                  <c:v>Food and non-alcoholic drinks</c:v>
                </c:pt>
                <c:pt idx="1">
                  <c:v>Alcoholic drinks, tobacco and narcotics</c:v>
                </c:pt>
                <c:pt idx="2">
                  <c:v>Clothing and footwear</c:v>
                </c:pt>
                <c:pt idx="3">
                  <c:v>Housing(net), fuel and power</c:v>
                </c:pt>
                <c:pt idx="4">
                  <c:v>Household goods and services</c:v>
                </c:pt>
                <c:pt idx="5">
                  <c:v>Health</c:v>
                </c:pt>
                <c:pt idx="6">
                  <c:v>Transport</c:v>
                </c:pt>
                <c:pt idx="7">
                  <c:v>Communication</c:v>
                </c:pt>
                <c:pt idx="8">
                  <c:v>Recreation and culture</c:v>
                </c:pt>
                <c:pt idx="9">
                  <c:v>Education</c:v>
                </c:pt>
                <c:pt idx="10">
                  <c:v>Restaurants and hotels</c:v>
                </c:pt>
                <c:pt idx="11">
                  <c:v>Miscellaneous goods and services</c:v>
                </c:pt>
                <c:pt idx="12">
                  <c:v>Other expense items</c:v>
                </c:pt>
              </c:strCache>
            </c:strRef>
          </c:cat>
          <c:val>
            <c:numRef>
              <c:f>Inputs!$E$22:$E$34</c:f>
              <c:numCache>
                <c:formatCode>_-"£"* #,##0_-;\-"£"* #,##0_-;_-"£"* "-"??_-;_-@_-</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extLst>
            <c:ext xmlns:c16="http://schemas.microsoft.com/office/drawing/2014/chart" uri="{C3380CC4-5D6E-409C-BE32-E72D297353CC}">
              <c16:uniqueId val="{0000000D-932F-4389-8EFD-2DBCE9411D6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104775</xdr:colOff>
      <xdr:row>36</xdr:row>
      <xdr:rowOff>76200</xdr:rowOff>
    </xdr:from>
    <xdr:to>
      <xdr:col>13</xdr:col>
      <xdr:colOff>314325</xdr:colOff>
      <xdr:row>53</xdr:row>
      <xdr:rowOff>152400</xdr:rowOff>
    </xdr:to>
    <xdr:graphicFrame macro="">
      <xdr:nvGraphicFramePr>
        <xdr:cNvPr id="1181" name="Chart 1">
          <a:extLst>
            <a:ext uri="{FF2B5EF4-FFF2-40B4-BE49-F238E27FC236}">
              <a16:creationId xmlns:a16="http://schemas.microsoft.com/office/drawing/2014/main" id="{00000000-0008-0000-00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8895</xdr:rowOff>
    </xdr:from>
    <xdr:to>
      <xdr:col>14</xdr:col>
      <xdr:colOff>341042</xdr:colOff>
      <xdr:row>1</xdr:row>
      <xdr:rowOff>26670</xdr:rowOff>
    </xdr:to>
    <xdr:pic>
      <xdr:nvPicPr>
        <xdr:cNvPr id="4" name="Picture 3">
          <a:extLst>
            <a:ext uri="{FF2B5EF4-FFF2-40B4-BE49-F238E27FC236}">
              <a16:creationId xmlns:a16="http://schemas.microsoft.com/office/drawing/2014/main" id="{5BAB145D-64F3-4983-912F-6F6C5288983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44"/>
        <a:stretch/>
      </xdr:blipFill>
      <xdr:spPr>
        <a:xfrm>
          <a:off x="0" y="8895"/>
          <a:ext cx="11694842" cy="1677030"/>
        </a:xfrm>
        <a:prstGeom prst="rect">
          <a:avLst/>
        </a:prstGeom>
      </xdr:spPr>
    </xdr:pic>
    <xdr:clientData/>
  </xdr:twoCellAnchor>
  <xdr:twoCellAnchor>
    <xdr:from>
      <xdr:col>1</xdr:col>
      <xdr:colOff>923925</xdr:colOff>
      <xdr:row>0</xdr:row>
      <xdr:rowOff>428625</xdr:rowOff>
    </xdr:from>
    <xdr:to>
      <xdr:col>4</xdr:col>
      <xdr:colOff>1657350</xdr:colOff>
      <xdr:row>0</xdr:row>
      <xdr:rowOff>1228725</xdr:rowOff>
    </xdr:to>
    <xdr:sp macro="" textlink="">
      <xdr:nvSpPr>
        <xdr:cNvPr id="5" name="TextBox 4">
          <a:extLst>
            <a:ext uri="{FF2B5EF4-FFF2-40B4-BE49-F238E27FC236}">
              <a16:creationId xmlns:a16="http://schemas.microsoft.com/office/drawing/2014/main" id="{5E350918-EAB8-4114-ACA7-EF94C0ADB28F}"/>
            </a:ext>
          </a:extLst>
        </xdr:cNvPr>
        <xdr:cNvSpPr txBox="1"/>
      </xdr:nvSpPr>
      <xdr:spPr>
        <a:xfrm>
          <a:off x="1266825" y="428625"/>
          <a:ext cx="5572125"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3200">
              <a:solidFill>
                <a:sysClr val="windowText" lastClr="000000"/>
              </a:solidFill>
              <a:latin typeface="Sharp Sans Display No1 Semibold" pitchFamily="2" charset="0"/>
              <a:ea typeface="Sharp Sans Display No1 Semibold" pitchFamily="2" charset="0"/>
              <a:cs typeface="Sharp Sans Display No1 Semibold" pitchFamily="2" charset="0"/>
            </a:rPr>
            <a:t>Retirement Expense Tool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523875</xdr:colOff>
      <xdr:row>23</xdr:row>
      <xdr:rowOff>9525</xdr:rowOff>
    </xdr:to>
    <xdr:graphicFrame macro="">
      <xdr:nvGraphicFramePr>
        <xdr:cNvPr id="12395" name="Chart 1">
          <a:extLst>
            <a:ext uri="{FF2B5EF4-FFF2-40B4-BE49-F238E27FC236}">
              <a16:creationId xmlns:a16="http://schemas.microsoft.com/office/drawing/2014/main" id="{00000000-0008-0000-0100-00006B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sets.publishing.service.gov.uk/government/uploads/system/uploads/attachment_data/file/254321/framework-analysis-future-pensio-incomes.pdf" TargetMode="External"/><Relationship Id="rId1" Type="http://schemas.openxmlformats.org/officeDocument/2006/relationships/hyperlink" Target="https://www.ons.gov.uk/peoplepopulationandcommunity/personalandhouseholdfinances/expenditure/bulletins/familyspendingintheuk/april2023tomarch202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overnment/uploads/system/uploads/attachment_data/file/254321/framework-analysis-future-pensio-incomes.pdf" TargetMode="External"/><Relationship Id="rId1" Type="http://schemas.openxmlformats.org/officeDocument/2006/relationships/hyperlink" Target="https://www.ons.gov.uk/economy/inflationandpriceindices/timeseries/d7bt/mm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A146"/>
  <sheetViews>
    <sheetView showGridLines="0" tabSelected="1" zoomScaleNormal="100" workbookViewId="0">
      <selection activeCell="C83" sqref="C83"/>
    </sheetView>
  </sheetViews>
  <sheetFormatPr defaultColWidth="0" defaultRowHeight="15" zeroHeight="1" x14ac:dyDescent="0.25"/>
  <cols>
    <col min="1" max="1" width="5.140625" style="201" customWidth="1"/>
    <col min="2" max="2" width="35.7109375" style="1" bestFit="1" customWidth="1"/>
    <col min="3" max="5" width="23.7109375" style="1" customWidth="1"/>
    <col min="6" max="7" width="10" style="1" bestFit="1" customWidth="1"/>
    <col min="8" max="8" width="7.42578125" style="1" bestFit="1" customWidth="1"/>
    <col min="9" max="15" width="5.140625" style="1" customWidth="1"/>
    <col min="16" max="19" width="10.85546875" style="1" hidden="1" customWidth="1"/>
    <col min="20" max="27" width="0" style="1" hidden="1" customWidth="1"/>
    <col min="28" max="16384" width="9.140625" style="1" hidden="1"/>
  </cols>
  <sheetData>
    <row r="1" spans="1:15" customFormat="1" ht="130.5" customHeight="1" x14ac:dyDescent="0.25">
      <c r="A1" s="201"/>
      <c r="B1" s="1"/>
      <c r="C1" s="1"/>
      <c r="D1" s="1"/>
      <c r="E1" s="1"/>
      <c r="F1" s="1"/>
      <c r="G1" s="1"/>
      <c r="H1" s="1"/>
      <c r="I1" s="1"/>
      <c r="J1" s="1"/>
      <c r="K1" s="1"/>
      <c r="L1" s="1"/>
      <c r="M1" s="1"/>
      <c r="N1" s="1"/>
      <c r="O1" s="1"/>
    </row>
    <row r="2" spans="1:15" customFormat="1" x14ac:dyDescent="0.25">
      <c r="A2" s="201"/>
      <c r="B2" s="193"/>
      <c r="C2" s="1"/>
      <c r="D2" s="1"/>
      <c r="E2" s="1"/>
      <c r="F2" s="1"/>
      <c r="G2" s="1"/>
      <c r="H2" s="1"/>
      <c r="I2" s="1"/>
      <c r="J2" s="1"/>
      <c r="K2" s="1"/>
      <c r="L2" s="1"/>
      <c r="M2" s="1"/>
      <c r="N2" s="1"/>
      <c r="O2" s="1"/>
    </row>
    <row r="3" spans="1:15" customFormat="1" x14ac:dyDescent="0.25">
      <c r="A3" s="201"/>
      <c r="B3" s="1"/>
      <c r="C3" s="1"/>
      <c r="D3" s="1"/>
      <c r="E3" s="1"/>
      <c r="F3" s="1"/>
      <c r="G3" s="1"/>
      <c r="H3" s="1"/>
      <c r="I3" s="1"/>
      <c r="J3" s="1"/>
      <c r="K3" s="1"/>
      <c r="L3" s="1"/>
      <c r="M3" s="1"/>
      <c r="N3" s="1"/>
      <c r="O3" s="1"/>
    </row>
    <row r="4" spans="1:15" customFormat="1" ht="15" customHeight="1" x14ac:dyDescent="0.3">
      <c r="A4" s="201"/>
      <c r="B4" s="272" t="s">
        <v>77</v>
      </c>
      <c r="C4" s="273" t="s">
        <v>80</v>
      </c>
      <c r="D4" s="1"/>
      <c r="E4" s="320" t="s">
        <v>143</v>
      </c>
      <c r="F4" s="321"/>
      <c r="G4" s="321"/>
      <c r="H4" s="321"/>
      <c r="I4" s="321"/>
      <c r="J4" s="321"/>
      <c r="K4" s="321"/>
      <c r="L4" s="321"/>
      <c r="M4" s="321"/>
      <c r="N4" s="322"/>
      <c r="O4" s="1"/>
    </row>
    <row r="5" spans="1:15" customFormat="1" x14ac:dyDescent="0.25">
      <c r="A5" s="201"/>
      <c r="B5" s="286" t="s">
        <v>101</v>
      </c>
      <c r="C5" s="287"/>
      <c r="D5" s="1"/>
      <c r="E5" s="323"/>
      <c r="F5" s="324"/>
      <c r="G5" s="324"/>
      <c r="H5" s="324"/>
      <c r="I5" s="324"/>
      <c r="J5" s="324"/>
      <c r="K5" s="324"/>
      <c r="L5" s="324"/>
      <c r="M5" s="324"/>
      <c r="N5" s="325"/>
      <c r="O5" s="1"/>
    </row>
    <row r="6" spans="1:15" customFormat="1" x14ac:dyDescent="0.25">
      <c r="A6" s="201"/>
      <c r="B6" s="286" t="s">
        <v>100</v>
      </c>
      <c r="C6" s="288"/>
      <c r="D6" s="1"/>
      <c r="E6" s="323"/>
      <c r="F6" s="324"/>
      <c r="G6" s="324"/>
      <c r="H6" s="324"/>
      <c r="I6" s="324"/>
      <c r="J6" s="324"/>
      <c r="K6" s="324"/>
      <c r="L6" s="324"/>
      <c r="M6" s="324"/>
      <c r="N6" s="325"/>
      <c r="O6" s="1"/>
    </row>
    <row r="7" spans="1:15" customFormat="1" x14ac:dyDescent="0.25">
      <c r="A7" s="201"/>
      <c r="B7" s="286" t="s">
        <v>127</v>
      </c>
      <c r="C7" s="287"/>
      <c r="D7" s="1"/>
      <c r="E7" s="323"/>
      <c r="F7" s="324"/>
      <c r="G7" s="324"/>
      <c r="H7" s="324"/>
      <c r="I7" s="324"/>
      <c r="J7" s="324"/>
      <c r="K7" s="324"/>
      <c r="L7" s="324"/>
      <c r="M7" s="324"/>
      <c r="N7" s="325"/>
      <c r="O7" s="1"/>
    </row>
    <row r="8" spans="1:15" customFormat="1" x14ac:dyDescent="0.25">
      <c r="A8" s="201"/>
      <c r="B8" s="266"/>
      <c r="C8" s="192"/>
      <c r="D8" s="1"/>
      <c r="E8" s="323"/>
      <c r="F8" s="324"/>
      <c r="G8" s="324"/>
      <c r="H8" s="324"/>
      <c r="I8" s="324"/>
      <c r="J8" s="324"/>
      <c r="K8" s="324"/>
      <c r="L8" s="324"/>
      <c r="M8" s="324"/>
      <c r="N8" s="325"/>
      <c r="O8" s="1"/>
    </row>
    <row r="9" spans="1:15" customFormat="1" x14ac:dyDescent="0.25">
      <c r="A9" s="201"/>
      <c r="B9" s="1"/>
      <c r="C9" s="192"/>
      <c r="D9" s="1"/>
      <c r="E9" s="323"/>
      <c r="F9" s="324"/>
      <c r="G9" s="324"/>
      <c r="H9" s="324"/>
      <c r="I9" s="324"/>
      <c r="J9" s="324"/>
      <c r="K9" s="324"/>
      <c r="L9" s="324"/>
      <c r="M9" s="324"/>
      <c r="N9" s="325"/>
      <c r="O9" s="1"/>
    </row>
    <row r="10" spans="1:15" customFormat="1" x14ac:dyDescent="0.25">
      <c r="A10" s="248"/>
      <c r="B10" s="249"/>
      <c r="C10" s="249"/>
      <c r="D10" s="1"/>
      <c r="E10" s="323"/>
      <c r="F10" s="324"/>
      <c r="G10" s="324"/>
      <c r="H10" s="324"/>
      <c r="I10" s="324"/>
      <c r="J10" s="324"/>
      <c r="K10" s="324"/>
      <c r="L10" s="324"/>
      <c r="M10" s="324"/>
      <c r="N10" s="325"/>
      <c r="O10" s="1"/>
    </row>
    <row r="11" spans="1:15" customFormat="1" x14ac:dyDescent="0.25">
      <c r="A11" s="248"/>
      <c r="B11" s="249"/>
      <c r="C11" s="249"/>
      <c r="D11" s="1"/>
      <c r="E11" s="323"/>
      <c r="F11" s="324"/>
      <c r="G11" s="324"/>
      <c r="H11" s="324"/>
      <c r="I11" s="324"/>
      <c r="J11" s="324"/>
      <c r="K11" s="324"/>
      <c r="L11" s="324"/>
      <c r="M11" s="324"/>
      <c r="N11" s="325"/>
      <c r="O11" s="1"/>
    </row>
    <row r="12" spans="1:15" customFormat="1" x14ac:dyDescent="0.25">
      <c r="A12" s="248"/>
      <c r="B12" s="249"/>
      <c r="C12" s="249"/>
      <c r="D12" s="1"/>
      <c r="E12" s="323"/>
      <c r="F12" s="324"/>
      <c r="G12" s="324"/>
      <c r="H12" s="324"/>
      <c r="I12" s="324"/>
      <c r="J12" s="324"/>
      <c r="K12" s="324"/>
      <c r="L12" s="324"/>
      <c r="M12" s="324"/>
      <c r="N12" s="325"/>
      <c r="O12" s="1"/>
    </row>
    <row r="13" spans="1:15" customFormat="1" x14ac:dyDescent="0.25">
      <c r="A13" s="248"/>
      <c r="B13" s="249"/>
      <c r="C13" s="249"/>
      <c r="D13" s="1"/>
      <c r="E13" s="323"/>
      <c r="F13" s="324"/>
      <c r="G13" s="324"/>
      <c r="H13" s="324"/>
      <c r="I13" s="324"/>
      <c r="J13" s="324"/>
      <c r="K13" s="324"/>
      <c r="L13" s="324"/>
      <c r="M13" s="324"/>
      <c r="N13" s="325"/>
      <c r="O13" s="1"/>
    </row>
    <row r="14" spans="1:15" customFormat="1" x14ac:dyDescent="0.25">
      <c r="A14" s="248"/>
      <c r="B14" s="249"/>
      <c r="C14" s="249"/>
      <c r="D14" s="1"/>
      <c r="E14" s="326"/>
      <c r="F14" s="327"/>
      <c r="G14" s="327"/>
      <c r="H14" s="327"/>
      <c r="I14" s="327"/>
      <c r="J14" s="327"/>
      <c r="K14" s="327"/>
      <c r="L14" s="327"/>
      <c r="M14" s="327"/>
      <c r="N14" s="328"/>
      <c r="O14" s="1"/>
    </row>
    <row r="15" spans="1:15" customFormat="1" x14ac:dyDescent="0.25">
      <c r="A15" s="248"/>
      <c r="B15" s="249"/>
      <c r="C15" s="250"/>
      <c r="D15" s="1"/>
      <c r="E15" s="251"/>
      <c r="F15" s="263"/>
      <c r="G15" s="263"/>
      <c r="H15" s="263"/>
      <c r="I15" s="263"/>
      <c r="J15" s="263"/>
      <c r="K15" s="263"/>
      <c r="L15" s="263"/>
      <c r="M15" s="263"/>
      <c r="N15" s="263"/>
      <c r="O15" s="1"/>
    </row>
    <row r="16" spans="1:15" customFormat="1" ht="15.75" x14ac:dyDescent="0.3">
      <c r="A16" s="248"/>
      <c r="B16" s="274" t="s">
        <v>141</v>
      </c>
      <c r="C16" s="273" t="s">
        <v>140</v>
      </c>
      <c r="D16" s="1"/>
      <c r="E16" s="263"/>
      <c r="F16" s="263"/>
      <c r="G16" s="263"/>
      <c r="H16" s="263"/>
      <c r="I16" s="263"/>
      <c r="J16" s="263"/>
      <c r="K16" s="263"/>
      <c r="L16" s="263"/>
      <c r="M16" s="263"/>
      <c r="N16" s="263"/>
      <c r="O16" s="1"/>
    </row>
    <row r="17" spans="1:16" customFormat="1" ht="21" customHeight="1" x14ac:dyDescent="0.25">
      <c r="A17" s="248"/>
      <c r="B17" s="285" t="s">
        <v>142</v>
      </c>
      <c r="C17" s="315">
        <f>annual_income</f>
        <v>0</v>
      </c>
      <c r="D17" s="1"/>
      <c r="E17" s="317" t="s">
        <v>145</v>
      </c>
      <c r="F17" s="318"/>
      <c r="G17" s="318"/>
      <c r="H17" s="318"/>
      <c r="I17" s="318"/>
      <c r="J17" s="318"/>
      <c r="K17" s="318"/>
      <c r="L17" s="318"/>
      <c r="M17" s="318"/>
      <c r="N17" s="319"/>
      <c r="O17" s="1"/>
    </row>
    <row r="18" spans="1:16" customFormat="1" x14ac:dyDescent="0.25">
      <c r="A18" s="248"/>
      <c r="B18" s="249"/>
      <c r="C18" s="249"/>
      <c r="D18" s="1"/>
      <c r="E18" s="263"/>
      <c r="F18" s="263"/>
      <c r="G18" s="263"/>
      <c r="H18" s="263"/>
      <c r="I18" s="263"/>
      <c r="J18" s="263"/>
      <c r="K18" s="263"/>
      <c r="L18" s="263"/>
      <c r="M18" s="263"/>
      <c r="N18" s="263"/>
      <c r="O18" s="1"/>
    </row>
    <row r="19" spans="1:16" customFormat="1" x14ac:dyDescent="0.25">
      <c r="A19" s="201"/>
      <c r="B19" s="336" t="str">
        <f>IF(AND(exp_type="couple",salary&lt;Lookups!C41),"Gross Annual salary for a couple must be greater than £23,800. Please adjust your inputs.","")</f>
        <v/>
      </c>
      <c r="C19" s="336"/>
      <c r="D19" s="336"/>
      <c r="E19" s="336"/>
      <c r="F19" s="336"/>
      <c r="G19" s="336"/>
      <c r="H19" s="336"/>
      <c r="I19" s="336"/>
      <c r="J19" s="336"/>
      <c r="K19" s="336"/>
      <c r="L19" s="336"/>
      <c r="M19" s="336"/>
      <c r="N19" s="336"/>
      <c r="O19" s="252"/>
      <c r="P19" s="264"/>
    </row>
    <row r="20" spans="1:16" customFormat="1" ht="15.75" x14ac:dyDescent="0.3">
      <c r="A20" s="201"/>
      <c r="B20" s="1"/>
      <c r="C20" s="333" t="s">
        <v>135</v>
      </c>
      <c r="D20" s="334"/>
      <c r="E20" s="335"/>
      <c r="F20" s="253"/>
      <c r="G20" s="253"/>
      <c r="H20" s="253"/>
      <c r="I20" s="253"/>
      <c r="J20" s="253"/>
      <c r="K20" s="253"/>
      <c r="L20" s="253"/>
      <c r="M20" s="253"/>
      <c r="N20" s="253"/>
      <c r="O20" s="253"/>
      <c r="P20" s="264"/>
    </row>
    <row r="21" spans="1:16" customFormat="1" ht="30" customHeight="1" x14ac:dyDescent="0.25">
      <c r="A21" s="201"/>
      <c r="B21" s="275" t="s">
        <v>33</v>
      </c>
      <c r="C21" s="276" t="s">
        <v>133</v>
      </c>
      <c r="D21" s="277" t="s">
        <v>99</v>
      </c>
      <c r="E21" s="278" t="s">
        <v>134</v>
      </c>
      <c r="F21" s="254"/>
      <c r="G21" s="254"/>
      <c r="H21" s="254"/>
      <c r="I21" s="254"/>
      <c r="J21" s="254"/>
      <c r="K21" s="254"/>
      <c r="L21" s="254"/>
      <c r="M21" s="254"/>
      <c r="N21" s="254"/>
      <c r="O21" s="254"/>
    </row>
    <row r="22" spans="1:16" customFormat="1" ht="15" customHeight="1" x14ac:dyDescent="0.25">
      <c r="A22" s="255"/>
      <c r="B22" s="279" t="s">
        <v>2</v>
      </c>
      <c r="C22" s="280" t="e">
        <f ca="1">ROUND(52*INDEX(INDIRECT("'"&amp;form_lookup&amp;"'!"&amp;lookup_range),1,quintile)*exp_scaling,0)</f>
        <v>#N/A</v>
      </c>
      <c r="D22" s="281">
        <v>1</v>
      </c>
      <c r="E22" s="280" t="e">
        <f ca="1">ROUND(C22*D22,0)</f>
        <v>#N/A</v>
      </c>
      <c r="F22" s="337" t="s">
        <v>144</v>
      </c>
      <c r="G22" s="338"/>
      <c r="H22" s="338"/>
      <c r="I22" s="338"/>
      <c r="J22" s="338"/>
      <c r="K22" s="338"/>
      <c r="L22" s="338"/>
      <c r="M22" s="338"/>
      <c r="N22" s="339"/>
      <c r="O22" s="258"/>
    </row>
    <row r="23" spans="1:16" customFormat="1" x14ac:dyDescent="0.25">
      <c r="A23" s="255"/>
      <c r="B23" s="279" t="s">
        <v>3</v>
      </c>
      <c r="C23" s="280" t="e">
        <f ca="1">ROUND(52*INDEX(INDIRECT("'"&amp;form_lookup&amp;"'!"&amp;lookup_range),3,quintile)*exp_scaling,0)</f>
        <v>#N/A</v>
      </c>
      <c r="D23" s="281">
        <v>1</v>
      </c>
      <c r="E23" s="280" t="e">
        <f t="shared" ref="E23:E34" ca="1" si="0">ROUND(C23*D23,0)</f>
        <v>#N/A</v>
      </c>
      <c r="F23" s="340"/>
      <c r="G23" s="341"/>
      <c r="H23" s="341"/>
      <c r="I23" s="341"/>
      <c r="J23" s="341"/>
      <c r="K23" s="341"/>
      <c r="L23" s="341"/>
      <c r="M23" s="341"/>
      <c r="N23" s="342"/>
      <c r="O23" s="258"/>
    </row>
    <row r="24" spans="1:16" customFormat="1" x14ac:dyDescent="0.25">
      <c r="A24" s="255"/>
      <c r="B24" s="279" t="s">
        <v>4</v>
      </c>
      <c r="C24" s="280" t="e">
        <f ca="1">ROUND(52*INDEX(INDIRECT("'"&amp;form_lookup&amp;"'!"&amp;lookup_range),5,quintile)*exp_scaling,0)</f>
        <v>#N/A</v>
      </c>
      <c r="D24" s="281">
        <v>1</v>
      </c>
      <c r="E24" s="280" t="e">
        <f t="shared" ca="1" si="0"/>
        <v>#N/A</v>
      </c>
      <c r="F24" s="340"/>
      <c r="G24" s="341"/>
      <c r="H24" s="341"/>
      <c r="I24" s="341"/>
      <c r="J24" s="341"/>
      <c r="K24" s="341"/>
      <c r="L24" s="341"/>
      <c r="M24" s="341"/>
      <c r="N24" s="342"/>
      <c r="O24" s="258"/>
    </row>
    <row r="25" spans="1:16" customFormat="1" x14ac:dyDescent="0.25">
      <c r="A25" s="255"/>
      <c r="B25" s="279" t="s">
        <v>79</v>
      </c>
      <c r="C25" s="280" t="e">
        <f ca="1">ROUND(52*INDEX(INDIRECT("'"&amp;form_lookup&amp;"'!"&amp;lookup_range),7,quintile)*exp_scaling,0)</f>
        <v>#N/A</v>
      </c>
      <c r="D25" s="281">
        <v>1</v>
      </c>
      <c r="E25" s="280" t="e">
        <f t="shared" ca="1" si="0"/>
        <v>#N/A</v>
      </c>
      <c r="F25" s="340"/>
      <c r="G25" s="341"/>
      <c r="H25" s="341"/>
      <c r="I25" s="341"/>
      <c r="J25" s="341"/>
      <c r="K25" s="341"/>
      <c r="L25" s="341"/>
      <c r="M25" s="341"/>
      <c r="N25" s="342"/>
      <c r="O25" s="258"/>
    </row>
    <row r="26" spans="1:16" customFormat="1" x14ac:dyDescent="0.25">
      <c r="A26" s="255"/>
      <c r="B26" s="279" t="s">
        <v>5</v>
      </c>
      <c r="C26" s="280" t="e">
        <f ca="1">ROUND(52*INDEX(INDIRECT("'"&amp;form_lookup&amp;"'!"&amp;lookup_range),9,quintile)*exp_scaling,0)</f>
        <v>#N/A</v>
      </c>
      <c r="D26" s="281">
        <v>1</v>
      </c>
      <c r="E26" s="280" t="e">
        <f t="shared" ca="1" si="0"/>
        <v>#N/A</v>
      </c>
      <c r="F26" s="340"/>
      <c r="G26" s="341"/>
      <c r="H26" s="341"/>
      <c r="I26" s="341"/>
      <c r="J26" s="341"/>
      <c r="K26" s="341"/>
      <c r="L26" s="341"/>
      <c r="M26" s="341"/>
      <c r="N26" s="342"/>
      <c r="O26" s="258"/>
    </row>
    <row r="27" spans="1:16" customFormat="1" x14ac:dyDescent="0.25">
      <c r="A27" s="255"/>
      <c r="B27" s="279" t="s">
        <v>6</v>
      </c>
      <c r="C27" s="280" t="e">
        <f ca="1">ROUND(52*INDEX(INDIRECT("'"&amp;form_lookup&amp;"'!"&amp;lookup_range),11,quintile)*exp_scaling,0)</f>
        <v>#N/A</v>
      </c>
      <c r="D27" s="281">
        <v>1</v>
      </c>
      <c r="E27" s="280" t="e">
        <f t="shared" ca="1" si="0"/>
        <v>#N/A</v>
      </c>
      <c r="F27" s="340"/>
      <c r="G27" s="341"/>
      <c r="H27" s="341"/>
      <c r="I27" s="341"/>
      <c r="J27" s="341"/>
      <c r="K27" s="341"/>
      <c r="L27" s="341"/>
      <c r="M27" s="341"/>
      <c r="N27" s="342"/>
      <c r="O27" s="258"/>
    </row>
    <row r="28" spans="1:16" customFormat="1" x14ac:dyDescent="0.25">
      <c r="A28" s="255"/>
      <c r="B28" s="279" t="s">
        <v>7</v>
      </c>
      <c r="C28" s="280" t="e">
        <f ca="1">ROUND(52*INDEX(INDIRECT("'"&amp;form_lookup&amp;"'!"&amp;lookup_range),13,quintile)*exp_scaling,0)</f>
        <v>#N/A</v>
      </c>
      <c r="D28" s="281">
        <v>1</v>
      </c>
      <c r="E28" s="280" t="e">
        <f t="shared" ca="1" si="0"/>
        <v>#N/A</v>
      </c>
      <c r="F28" s="340"/>
      <c r="G28" s="341"/>
      <c r="H28" s="341"/>
      <c r="I28" s="341"/>
      <c r="J28" s="341"/>
      <c r="K28" s="341"/>
      <c r="L28" s="341"/>
      <c r="M28" s="341"/>
      <c r="N28" s="342"/>
      <c r="O28" s="258"/>
    </row>
    <row r="29" spans="1:16" customFormat="1" x14ac:dyDescent="0.25">
      <c r="A29" s="255"/>
      <c r="B29" s="279" t="s">
        <v>8</v>
      </c>
      <c r="C29" s="280" t="e">
        <f ca="1">ROUND(52*INDEX(INDIRECT("'"&amp;form_lookup&amp;"'!"&amp;lookup_range),15,quintile)*exp_scaling,0)</f>
        <v>#N/A</v>
      </c>
      <c r="D29" s="281">
        <v>1</v>
      </c>
      <c r="E29" s="280" t="e">
        <f t="shared" ca="1" si="0"/>
        <v>#N/A</v>
      </c>
      <c r="F29" s="340"/>
      <c r="G29" s="341"/>
      <c r="H29" s="341"/>
      <c r="I29" s="341"/>
      <c r="J29" s="341"/>
      <c r="K29" s="341"/>
      <c r="L29" s="341"/>
      <c r="M29" s="341"/>
      <c r="N29" s="342"/>
      <c r="O29" s="258"/>
    </row>
    <row r="30" spans="1:16" customFormat="1" x14ac:dyDescent="0.25">
      <c r="A30" s="255"/>
      <c r="B30" s="279" t="s">
        <v>9</v>
      </c>
      <c r="C30" s="280" t="e">
        <f ca="1">ROUND(52*INDEX(INDIRECT("'"&amp;form_lookup&amp;"'!"&amp;lookup_range),17,quintile)*exp_scaling,0)</f>
        <v>#N/A</v>
      </c>
      <c r="D30" s="281">
        <v>1</v>
      </c>
      <c r="E30" s="280" t="e">
        <f t="shared" ca="1" si="0"/>
        <v>#N/A</v>
      </c>
      <c r="F30" s="343"/>
      <c r="G30" s="344"/>
      <c r="H30" s="344"/>
      <c r="I30" s="344"/>
      <c r="J30" s="344"/>
      <c r="K30" s="344"/>
      <c r="L30" s="344"/>
      <c r="M30" s="344"/>
      <c r="N30" s="345"/>
      <c r="O30" s="258"/>
    </row>
    <row r="31" spans="1:16" customFormat="1" ht="15" customHeight="1" x14ac:dyDescent="0.25">
      <c r="A31" s="255"/>
      <c r="B31" s="279" t="s">
        <v>10</v>
      </c>
      <c r="C31" s="280" t="e">
        <f ca="1">ROUND(52*INDEX(INDIRECT("'"&amp;form_lookup&amp;"'!"&amp;lookup_range),19,quintile)*exp_scaling,0)</f>
        <v>#N/A</v>
      </c>
      <c r="D31" s="281">
        <v>1</v>
      </c>
      <c r="E31" s="280" t="e">
        <f t="shared" ca="1" si="0"/>
        <v>#N/A</v>
      </c>
      <c r="F31" s="329" t="s">
        <v>85</v>
      </c>
      <c r="G31" s="330"/>
      <c r="H31" s="330"/>
      <c r="I31" s="330"/>
      <c r="J31" s="330"/>
      <c r="K31" s="330"/>
      <c r="L31" s="330"/>
      <c r="M31" s="330"/>
      <c r="N31" s="331"/>
      <c r="O31" s="258"/>
    </row>
    <row r="32" spans="1:16" customFormat="1" x14ac:dyDescent="0.25">
      <c r="A32" s="255"/>
      <c r="B32" s="279" t="s">
        <v>11</v>
      </c>
      <c r="C32" s="280" t="e">
        <f ca="1">ROUND(52*INDEX(INDIRECT("'"&amp;form_lookup&amp;"'!"&amp;lookup_range),21,quintile)*exp_scaling,0)</f>
        <v>#N/A</v>
      </c>
      <c r="D32" s="281">
        <v>1</v>
      </c>
      <c r="E32" s="280" t="e">
        <f t="shared" ca="1" si="0"/>
        <v>#N/A</v>
      </c>
      <c r="F32" s="346"/>
      <c r="G32" s="347"/>
      <c r="H32" s="347"/>
      <c r="I32" s="347"/>
      <c r="J32" s="347"/>
      <c r="K32" s="347"/>
      <c r="L32" s="347"/>
      <c r="M32" s="347"/>
      <c r="N32" s="348"/>
      <c r="O32" s="258"/>
    </row>
    <row r="33" spans="1:15" customFormat="1" x14ac:dyDescent="0.25">
      <c r="A33" s="255"/>
      <c r="B33" s="279" t="s">
        <v>12</v>
      </c>
      <c r="C33" s="280" t="e">
        <f ca="1">ROUND(52*INDEX(INDIRECT("'"&amp;form_lookup&amp;"'!"&amp;lookup_range),23,quintile)*exp_scaling,0)</f>
        <v>#N/A</v>
      </c>
      <c r="D33" s="281">
        <v>1</v>
      </c>
      <c r="E33" s="280" t="e">
        <f t="shared" ca="1" si="0"/>
        <v>#N/A</v>
      </c>
      <c r="F33" s="346"/>
      <c r="G33" s="347"/>
      <c r="H33" s="347"/>
      <c r="I33" s="347"/>
      <c r="J33" s="347"/>
      <c r="K33" s="347"/>
      <c r="L33" s="347"/>
      <c r="M33" s="347"/>
      <c r="N33" s="348"/>
      <c r="O33" s="258"/>
    </row>
    <row r="34" spans="1:15" customFormat="1" x14ac:dyDescent="0.25">
      <c r="A34" s="255"/>
      <c r="B34" s="279" t="s">
        <v>136</v>
      </c>
      <c r="C34" s="280" t="e">
        <f ca="1">ROUND(52*INDEX(INDIRECT("'"&amp;form_lookup&amp;"'!"&amp;lookup_range),29,quintile)*exp_scaling,0)</f>
        <v>#N/A</v>
      </c>
      <c r="D34" s="281">
        <v>1</v>
      </c>
      <c r="E34" s="280" t="e">
        <f t="shared" ca="1" si="0"/>
        <v>#N/A</v>
      </c>
      <c r="F34" s="349"/>
      <c r="G34" s="350"/>
      <c r="H34" s="350"/>
      <c r="I34" s="350"/>
      <c r="J34" s="350"/>
      <c r="K34" s="350"/>
      <c r="L34" s="350"/>
      <c r="M34" s="350"/>
      <c r="N34" s="351"/>
      <c r="O34" s="258"/>
    </row>
    <row r="35" spans="1:15" customFormat="1" x14ac:dyDescent="0.25">
      <c r="A35" s="201"/>
      <c r="B35" s="282" t="s">
        <v>14</v>
      </c>
      <c r="C35" s="283" t="e">
        <f ca="1">SUM(C22:C34)</f>
        <v>#N/A</v>
      </c>
      <c r="D35" s="284"/>
      <c r="E35" s="283" t="e">
        <f ca="1">SUM(E22:E34)</f>
        <v>#N/A</v>
      </c>
      <c r="F35" s="256"/>
      <c r="G35" s="256"/>
      <c r="H35" s="256"/>
      <c r="I35" s="256"/>
      <c r="J35" s="256"/>
      <c r="K35" s="256"/>
      <c r="L35" s="256"/>
      <c r="M35" s="256"/>
      <c r="N35" s="256"/>
      <c r="O35" s="256"/>
    </row>
    <row r="36" spans="1:15" x14ac:dyDescent="0.25">
      <c r="E36" s="257"/>
      <c r="F36" s="257"/>
      <c r="G36" s="257"/>
      <c r="H36" s="257"/>
      <c r="I36" s="257"/>
      <c r="J36" s="257"/>
      <c r="K36" s="257"/>
      <c r="L36" s="257"/>
      <c r="M36" s="257"/>
      <c r="N36" s="257"/>
      <c r="O36" s="257"/>
    </row>
    <row r="37" spans="1:15" x14ac:dyDescent="0.25"/>
    <row r="38" spans="1:15" x14ac:dyDescent="0.25"/>
    <row r="39" spans="1:15" x14ac:dyDescent="0.25"/>
    <row r="40" spans="1:15" x14ac:dyDescent="0.25"/>
    <row r="41" spans="1:15" x14ac:dyDescent="0.25"/>
    <row r="42" spans="1:15" x14ac:dyDescent="0.25"/>
    <row r="43" spans="1:15" x14ac:dyDescent="0.25"/>
    <row r="44" spans="1:15" x14ac:dyDescent="0.25">
      <c r="E44" s="259"/>
      <c r="F44" s="259"/>
      <c r="G44" s="259"/>
      <c r="H44" s="259"/>
      <c r="I44" s="259"/>
      <c r="J44" s="259"/>
      <c r="K44" s="259"/>
      <c r="L44" s="259"/>
      <c r="M44" s="259"/>
      <c r="N44" s="259"/>
      <c r="O44" s="259"/>
    </row>
    <row r="45" spans="1:15" x14ac:dyDescent="0.25">
      <c r="E45" s="259"/>
      <c r="F45" s="259"/>
      <c r="G45" s="259"/>
      <c r="H45" s="259"/>
      <c r="I45" s="259"/>
      <c r="J45" s="259"/>
      <c r="K45" s="259"/>
      <c r="L45" s="259"/>
      <c r="M45" s="259"/>
      <c r="N45" s="259"/>
      <c r="O45" s="259"/>
    </row>
    <row r="46" spans="1:15" x14ac:dyDescent="0.25">
      <c r="E46" s="259"/>
      <c r="F46" s="259"/>
      <c r="G46" s="259"/>
      <c r="H46" s="259"/>
      <c r="I46" s="259"/>
      <c r="J46" s="259"/>
      <c r="K46" s="259"/>
      <c r="L46" s="259"/>
      <c r="M46" s="259"/>
      <c r="N46" s="259"/>
      <c r="O46" s="259"/>
    </row>
    <row r="47" spans="1:15" x14ac:dyDescent="0.25">
      <c r="E47" s="259"/>
      <c r="F47" s="259"/>
      <c r="G47" s="259"/>
      <c r="H47" s="259"/>
      <c r="I47" s="259"/>
      <c r="J47" s="259"/>
      <c r="K47" s="259"/>
      <c r="L47" s="259"/>
      <c r="M47" s="259"/>
      <c r="N47" s="259"/>
      <c r="O47" s="259"/>
    </row>
    <row r="48" spans="1:15" x14ac:dyDescent="0.25">
      <c r="E48" s="259"/>
      <c r="F48" s="259"/>
      <c r="G48" s="259"/>
      <c r="H48" s="259"/>
      <c r="I48" s="259"/>
      <c r="J48" s="259"/>
      <c r="K48" s="259"/>
      <c r="L48" s="259"/>
      <c r="M48" s="259"/>
      <c r="N48" s="259"/>
      <c r="O48" s="259"/>
    </row>
    <row r="49" spans="2:15" x14ac:dyDescent="0.25">
      <c r="E49" s="259"/>
      <c r="F49" s="259"/>
      <c r="G49" s="259"/>
      <c r="H49" s="259"/>
      <c r="I49" s="259"/>
      <c r="J49" s="259"/>
      <c r="K49" s="259"/>
      <c r="L49" s="259"/>
      <c r="M49" s="259"/>
      <c r="N49" s="259"/>
      <c r="O49" s="259"/>
    </row>
    <row r="50" spans="2:15" x14ac:dyDescent="0.25">
      <c r="E50" s="259"/>
      <c r="F50" s="259"/>
      <c r="G50" s="259"/>
      <c r="H50" s="259"/>
      <c r="I50" s="259"/>
      <c r="J50" s="259"/>
      <c r="K50" s="259"/>
      <c r="L50" s="259"/>
      <c r="M50" s="259"/>
      <c r="N50" s="259"/>
      <c r="O50" s="259"/>
    </row>
    <row r="51" spans="2:15" x14ac:dyDescent="0.25">
      <c r="E51" s="259"/>
      <c r="F51" s="259"/>
      <c r="G51" s="259"/>
      <c r="H51" s="259"/>
      <c r="I51" s="259"/>
      <c r="J51" s="259"/>
      <c r="K51" s="259"/>
      <c r="L51" s="259"/>
      <c r="M51" s="259"/>
      <c r="N51" s="259"/>
      <c r="O51" s="259"/>
    </row>
    <row r="52" spans="2:15" x14ac:dyDescent="0.25">
      <c r="E52" s="259"/>
      <c r="F52" s="259"/>
      <c r="G52" s="259"/>
      <c r="H52" s="259"/>
      <c r="I52" s="259"/>
      <c r="J52" s="259"/>
      <c r="K52" s="259"/>
      <c r="L52" s="259"/>
      <c r="M52" s="259"/>
      <c r="N52" s="259"/>
      <c r="O52" s="259"/>
    </row>
    <row r="53" spans="2:15" x14ac:dyDescent="0.25">
      <c r="D53" s="193"/>
      <c r="E53" s="260"/>
      <c r="F53" s="260"/>
      <c r="G53" s="260"/>
      <c r="H53" s="260"/>
      <c r="I53" s="260"/>
      <c r="J53" s="260"/>
      <c r="K53" s="260"/>
      <c r="L53" s="260"/>
      <c r="M53" s="260"/>
      <c r="N53" s="260"/>
      <c r="O53" s="260"/>
    </row>
    <row r="54" spans="2:15" x14ac:dyDescent="0.25"/>
    <row r="55" spans="2:15" x14ac:dyDescent="0.25">
      <c r="J55" s="266"/>
      <c r="K55" s="332" t="s">
        <v>86</v>
      </c>
      <c r="L55" s="332"/>
      <c r="M55" s="332"/>
      <c r="N55" s="332"/>
    </row>
    <row r="56" spans="2:15" x14ac:dyDescent="0.25">
      <c r="K56" s="262"/>
      <c r="L56" s="262"/>
      <c r="M56" s="262"/>
      <c r="N56" s="262"/>
    </row>
    <row r="57" spans="2:15" ht="30.75" customHeight="1" x14ac:dyDescent="0.25">
      <c r="B57" s="267" t="s">
        <v>83</v>
      </c>
      <c r="C57" s="266"/>
      <c r="D57" s="266"/>
      <c r="E57" s="266"/>
      <c r="F57" s="266"/>
      <c r="G57" s="266"/>
      <c r="H57" s="266"/>
      <c r="I57" s="266"/>
      <c r="J57" s="266"/>
      <c r="K57" s="268"/>
      <c r="L57" s="268"/>
      <c r="M57" s="268"/>
      <c r="N57" s="262"/>
    </row>
    <row r="58" spans="2:15" x14ac:dyDescent="0.25">
      <c r="B58" s="267"/>
      <c r="C58" s="266"/>
      <c r="D58" s="266"/>
      <c r="E58" s="266"/>
      <c r="F58" s="266"/>
      <c r="G58" s="266"/>
      <c r="H58" s="266"/>
      <c r="I58" s="266"/>
      <c r="J58" s="266"/>
      <c r="K58" s="268"/>
      <c r="L58" s="268"/>
      <c r="M58" s="268"/>
      <c r="N58" s="262"/>
    </row>
    <row r="59" spans="2:15" ht="30.75" customHeight="1" x14ac:dyDescent="0.25">
      <c r="B59" s="352" t="s">
        <v>184</v>
      </c>
      <c r="C59" s="352"/>
      <c r="D59" s="352"/>
      <c r="E59" s="352"/>
      <c r="F59" s="352"/>
      <c r="G59" s="352"/>
      <c r="H59" s="352"/>
      <c r="I59" s="352"/>
      <c r="J59" s="352"/>
      <c r="K59" s="352"/>
      <c r="L59" s="352"/>
      <c r="M59" s="352"/>
      <c r="N59" s="261"/>
    </row>
    <row r="60" spans="2:15" ht="16.5" customHeight="1" x14ac:dyDescent="0.25">
      <c r="B60" s="269" t="s">
        <v>139</v>
      </c>
      <c r="C60" s="270"/>
      <c r="D60" s="270"/>
      <c r="E60" s="270"/>
      <c r="F60" s="270"/>
      <c r="G60" s="270"/>
      <c r="H60" s="270"/>
      <c r="I60" s="270"/>
      <c r="J60" s="270"/>
      <c r="K60" s="270"/>
      <c r="L60" s="270"/>
      <c r="M60" s="270"/>
      <c r="N60" s="261"/>
    </row>
    <row r="61" spans="2:15" ht="16.5" customHeight="1" x14ac:dyDescent="0.25">
      <c r="B61" s="266"/>
      <c r="C61" s="266"/>
      <c r="D61" s="266"/>
      <c r="E61" s="266"/>
      <c r="F61" s="266"/>
      <c r="G61" s="266"/>
      <c r="H61" s="266"/>
      <c r="I61" s="266"/>
      <c r="J61" s="266"/>
      <c r="K61" s="268"/>
      <c r="L61" s="268"/>
      <c r="M61" s="268"/>
      <c r="N61" s="262"/>
    </row>
    <row r="62" spans="2:15" ht="30" customHeight="1" x14ac:dyDescent="0.25">
      <c r="B62" s="354" t="s">
        <v>185</v>
      </c>
      <c r="C62" s="352"/>
      <c r="D62" s="352"/>
      <c r="E62" s="352"/>
      <c r="F62" s="352"/>
      <c r="G62" s="352"/>
      <c r="H62" s="352"/>
      <c r="I62" s="352"/>
      <c r="J62" s="352"/>
      <c r="K62" s="352"/>
      <c r="L62" s="352"/>
      <c r="M62" s="352"/>
      <c r="N62" s="262"/>
    </row>
    <row r="63" spans="2:15" ht="14.45" customHeight="1" x14ac:dyDescent="0.25">
      <c r="B63" s="266"/>
      <c r="C63" s="266"/>
      <c r="D63" s="266"/>
      <c r="E63" s="266"/>
      <c r="F63" s="266"/>
      <c r="G63" s="266"/>
      <c r="H63" s="266"/>
      <c r="I63" s="266"/>
      <c r="J63" s="266"/>
      <c r="K63" s="268"/>
      <c r="L63" s="268"/>
      <c r="M63" s="268"/>
      <c r="N63" s="262"/>
    </row>
    <row r="64" spans="2:15" ht="31.15" customHeight="1" x14ac:dyDescent="0.25">
      <c r="B64" s="352" t="s">
        <v>186</v>
      </c>
      <c r="C64" s="353"/>
      <c r="D64" s="353"/>
      <c r="E64" s="353"/>
      <c r="F64" s="353"/>
      <c r="G64" s="353"/>
      <c r="H64" s="353"/>
      <c r="I64" s="353"/>
      <c r="J64" s="353"/>
      <c r="K64" s="353"/>
      <c r="L64" s="353"/>
      <c r="M64" s="353"/>
      <c r="N64" s="262"/>
    </row>
    <row r="65" spans="2:14" x14ac:dyDescent="0.25">
      <c r="B65" s="266"/>
      <c r="C65" s="266"/>
      <c r="D65" s="266"/>
      <c r="E65" s="266"/>
      <c r="F65" s="266"/>
      <c r="G65" s="266"/>
      <c r="H65" s="266"/>
      <c r="I65" s="266"/>
      <c r="J65" s="266"/>
      <c r="K65" s="268"/>
      <c r="L65" s="268"/>
      <c r="M65" s="268"/>
      <c r="N65" s="262"/>
    </row>
    <row r="66" spans="2:14" ht="30.75" customHeight="1" x14ac:dyDescent="0.25">
      <c r="B66" s="352" t="s">
        <v>187</v>
      </c>
      <c r="C66" s="353"/>
      <c r="D66" s="353"/>
      <c r="E66" s="353"/>
      <c r="F66" s="353"/>
      <c r="G66" s="353"/>
      <c r="H66" s="353"/>
      <c r="I66" s="353"/>
      <c r="J66" s="353"/>
      <c r="K66" s="353"/>
      <c r="L66" s="353"/>
      <c r="M66" s="353"/>
      <c r="N66" s="262"/>
    </row>
    <row r="67" spans="2:14" x14ac:dyDescent="0.25">
      <c r="B67" s="266"/>
      <c r="C67" s="266"/>
      <c r="D67" s="266"/>
      <c r="E67" s="266"/>
      <c r="F67" s="266"/>
      <c r="G67" s="266"/>
      <c r="H67" s="266"/>
      <c r="I67" s="266"/>
      <c r="J67" s="266"/>
      <c r="K67" s="268"/>
      <c r="L67" s="268"/>
      <c r="M67" s="268"/>
      <c r="N67" s="262"/>
    </row>
    <row r="68" spans="2:14" ht="30.75" customHeight="1" x14ac:dyDescent="0.25">
      <c r="B68" s="354" t="s">
        <v>188</v>
      </c>
      <c r="C68" s="353"/>
      <c r="D68" s="353"/>
      <c r="E68" s="353"/>
      <c r="F68" s="353"/>
      <c r="G68" s="353"/>
      <c r="H68" s="353"/>
      <c r="I68" s="353"/>
      <c r="J68" s="353"/>
      <c r="K68" s="353"/>
      <c r="L68" s="353"/>
      <c r="M68" s="353"/>
      <c r="N68" s="262"/>
    </row>
    <row r="69" spans="2:14" x14ac:dyDescent="0.25">
      <c r="B69" s="266"/>
      <c r="C69" s="266"/>
      <c r="D69" s="266"/>
      <c r="E69" s="266"/>
      <c r="F69" s="266"/>
      <c r="G69" s="266"/>
      <c r="H69" s="266"/>
      <c r="I69" s="266"/>
      <c r="J69" s="266"/>
      <c r="K69" s="268"/>
      <c r="L69" s="268"/>
      <c r="M69" s="268"/>
      <c r="N69" s="262"/>
    </row>
    <row r="70" spans="2:14" ht="58.15" customHeight="1" x14ac:dyDescent="0.25">
      <c r="B70" s="352" t="s">
        <v>137</v>
      </c>
      <c r="C70" s="353"/>
      <c r="D70" s="353"/>
      <c r="E70" s="353"/>
      <c r="F70" s="353"/>
      <c r="G70" s="353"/>
      <c r="H70" s="353"/>
      <c r="I70" s="353"/>
      <c r="J70" s="353"/>
      <c r="K70" s="353"/>
      <c r="L70" s="353"/>
      <c r="M70" s="353"/>
      <c r="N70" s="262"/>
    </row>
    <row r="71" spans="2:14" x14ac:dyDescent="0.25">
      <c r="B71" s="266"/>
      <c r="C71" s="266"/>
      <c r="D71" s="266"/>
      <c r="E71" s="266"/>
      <c r="F71" s="266"/>
      <c r="G71" s="266"/>
      <c r="H71" s="266"/>
      <c r="I71" s="266"/>
      <c r="J71" s="266"/>
      <c r="K71" s="268"/>
      <c r="L71" s="268"/>
      <c r="M71" s="268"/>
      <c r="N71" s="262"/>
    </row>
    <row r="72" spans="2:14" ht="30.75" customHeight="1" x14ac:dyDescent="0.25">
      <c r="B72" s="354" t="s">
        <v>138</v>
      </c>
      <c r="C72" s="353"/>
      <c r="D72" s="353"/>
      <c r="E72" s="353"/>
      <c r="F72" s="353"/>
      <c r="G72" s="353"/>
      <c r="H72" s="353"/>
      <c r="I72" s="353"/>
      <c r="J72" s="353"/>
      <c r="K72" s="353"/>
      <c r="L72" s="353"/>
      <c r="M72" s="353"/>
      <c r="N72" s="262"/>
    </row>
    <row r="73" spans="2:14" x14ac:dyDescent="0.25">
      <c r="B73" s="266"/>
      <c r="C73" s="266"/>
      <c r="D73" s="266"/>
      <c r="E73" s="266"/>
      <c r="F73" s="266"/>
      <c r="G73" s="266"/>
      <c r="H73" s="266"/>
      <c r="I73" s="266"/>
      <c r="J73" s="266"/>
      <c r="K73" s="268"/>
      <c r="L73" s="268"/>
      <c r="M73" s="268"/>
      <c r="N73" s="262"/>
    </row>
    <row r="74" spans="2:14" x14ac:dyDescent="0.25">
      <c r="B74" s="271" t="s">
        <v>189</v>
      </c>
      <c r="C74" s="266"/>
      <c r="D74" s="266"/>
      <c r="E74" s="266"/>
      <c r="F74" s="266"/>
      <c r="G74" s="266"/>
      <c r="H74" s="266"/>
      <c r="I74" s="266"/>
      <c r="J74" s="266"/>
      <c r="K74" s="268"/>
      <c r="L74" s="268"/>
      <c r="M74" s="268"/>
      <c r="N74" s="262"/>
    </row>
    <row r="75" spans="2:14" x14ac:dyDescent="0.25">
      <c r="B75" s="266"/>
      <c r="C75" s="266"/>
      <c r="D75" s="266"/>
      <c r="E75" s="266"/>
      <c r="F75" s="266"/>
      <c r="G75" s="266"/>
      <c r="H75" s="266"/>
      <c r="I75" s="266"/>
      <c r="J75" s="266"/>
      <c r="K75" s="268"/>
      <c r="L75" s="268"/>
      <c r="M75" s="268"/>
      <c r="N75" s="262"/>
    </row>
    <row r="76" spans="2:14" ht="31.5" customHeight="1" x14ac:dyDescent="0.25">
      <c r="B76" s="316" t="s">
        <v>190</v>
      </c>
      <c r="C76" s="316"/>
      <c r="D76" s="316"/>
      <c r="E76" s="316"/>
      <c r="F76" s="316"/>
      <c r="G76" s="316"/>
      <c r="H76" s="316"/>
      <c r="I76" s="316"/>
      <c r="J76" s="316"/>
      <c r="K76" s="316"/>
      <c r="L76" s="316"/>
      <c r="M76" s="316"/>
      <c r="N76" s="262"/>
    </row>
    <row r="77" spans="2:14" x14ac:dyDescent="0.25">
      <c r="B77" s="266"/>
      <c r="C77" s="266"/>
      <c r="D77" s="266"/>
      <c r="E77" s="266"/>
      <c r="F77" s="266"/>
      <c r="G77" s="266"/>
      <c r="H77" s="266"/>
      <c r="I77" s="266"/>
      <c r="J77" s="266"/>
      <c r="K77" s="268"/>
      <c r="L77" s="268"/>
      <c r="M77" s="268"/>
      <c r="N77" s="262"/>
    </row>
    <row r="78" spans="2:14" x14ac:dyDescent="0.25">
      <c r="B78" s="271" t="s">
        <v>191</v>
      </c>
      <c r="C78" s="266"/>
      <c r="D78" s="266"/>
      <c r="E78" s="266"/>
      <c r="F78" s="266"/>
      <c r="G78" s="266"/>
      <c r="H78" s="266"/>
      <c r="I78" s="266"/>
      <c r="J78" s="266"/>
      <c r="K78" s="268"/>
      <c r="L78" s="268"/>
      <c r="M78" s="268"/>
      <c r="N78" s="262"/>
    </row>
    <row r="79" spans="2:14" x14ac:dyDescent="0.25">
      <c r="B79" s="266"/>
      <c r="C79" s="266"/>
      <c r="D79" s="266"/>
      <c r="E79" s="266"/>
      <c r="F79" s="266"/>
      <c r="G79" s="266"/>
      <c r="H79" s="266"/>
      <c r="I79" s="266"/>
      <c r="J79" s="266"/>
      <c r="K79" s="268"/>
      <c r="L79" s="268"/>
      <c r="M79" s="268"/>
      <c r="N79" s="262"/>
    </row>
    <row r="80" spans="2:14" x14ac:dyDescent="0.25">
      <c r="B80" s="271" t="s">
        <v>192</v>
      </c>
      <c r="C80" s="266"/>
      <c r="D80" s="266"/>
      <c r="E80" s="266"/>
      <c r="F80" s="266"/>
      <c r="G80" s="266"/>
      <c r="H80" s="266"/>
      <c r="I80" s="266"/>
      <c r="J80" s="266"/>
      <c r="K80" s="268"/>
      <c r="L80" s="268"/>
      <c r="M80" s="268"/>
      <c r="N80" s="262"/>
    </row>
    <row r="81" spans="2:14" x14ac:dyDescent="0.25">
      <c r="B81" s="266"/>
      <c r="C81" s="266"/>
      <c r="D81" s="266"/>
      <c r="E81" s="266"/>
      <c r="F81" s="266"/>
      <c r="G81" s="266"/>
      <c r="H81" s="266"/>
      <c r="I81" s="266"/>
      <c r="J81" s="266"/>
      <c r="K81" s="268"/>
      <c r="L81" s="268"/>
      <c r="M81" s="268"/>
      <c r="N81" s="262"/>
    </row>
    <row r="82" spans="2:14" ht="27.75" customHeight="1" x14ac:dyDescent="0.25">
      <c r="B82" s="372" t="s">
        <v>193</v>
      </c>
      <c r="C82" s="372"/>
      <c r="D82" s="372"/>
      <c r="E82" s="372"/>
      <c r="F82" s="372"/>
      <c r="G82" s="372"/>
      <c r="H82" s="372"/>
      <c r="I82" s="372"/>
      <c r="J82" s="372"/>
      <c r="K82" s="372"/>
      <c r="L82" s="372"/>
      <c r="M82" s="268"/>
      <c r="N82" s="262"/>
    </row>
    <row r="83" spans="2:14" x14ac:dyDescent="0.25">
      <c r="B83" s="266"/>
      <c r="C83" s="266"/>
      <c r="D83" s="266"/>
      <c r="E83" s="266"/>
      <c r="F83" s="266"/>
      <c r="G83" s="266"/>
      <c r="H83" s="266"/>
      <c r="I83" s="266"/>
      <c r="J83" s="266"/>
      <c r="K83" s="268"/>
      <c r="L83" s="268"/>
      <c r="M83" s="268"/>
      <c r="N83" s="262"/>
    </row>
    <row r="84" spans="2:14" x14ac:dyDescent="0.25">
      <c r="B84" s="266"/>
      <c r="C84" s="266"/>
      <c r="D84" s="266"/>
      <c r="E84" s="266"/>
      <c r="F84" s="266"/>
      <c r="G84" s="266"/>
      <c r="H84" s="266"/>
      <c r="I84" s="266"/>
      <c r="J84" s="266"/>
      <c r="K84" s="268"/>
      <c r="L84" s="268"/>
      <c r="M84" s="268"/>
      <c r="N84" s="262"/>
    </row>
    <row r="85" spans="2:14" x14ac:dyDescent="0.25">
      <c r="B85" s="300" t="s">
        <v>180</v>
      </c>
      <c r="C85" s="266"/>
      <c r="D85" s="266"/>
      <c r="E85" s="266"/>
      <c r="F85" s="266"/>
      <c r="G85" s="266"/>
      <c r="H85" s="266"/>
      <c r="I85" s="266"/>
      <c r="J85" s="266"/>
      <c r="K85" s="268"/>
      <c r="L85" s="268"/>
      <c r="M85" s="268"/>
      <c r="N85" s="262"/>
    </row>
    <row r="86" spans="2:14" x14ac:dyDescent="0.25">
      <c r="B86" s="301" t="s">
        <v>181</v>
      </c>
      <c r="C86" s="266"/>
      <c r="D86" s="266"/>
      <c r="E86" s="266"/>
      <c r="F86" s="266"/>
      <c r="G86" s="266"/>
      <c r="H86" s="266"/>
      <c r="I86" s="266"/>
      <c r="J86" s="266"/>
      <c r="K86" s="268"/>
      <c r="L86" s="268"/>
      <c r="M86" s="268"/>
      <c r="N86" s="262"/>
    </row>
    <row r="87" spans="2:14" x14ac:dyDescent="0.25">
      <c r="C87" s="266"/>
      <c r="D87" s="266"/>
      <c r="E87" s="266"/>
      <c r="F87" s="266"/>
      <c r="G87" s="266"/>
      <c r="H87" s="266"/>
      <c r="I87" s="266"/>
      <c r="J87" s="266"/>
      <c r="K87" s="268"/>
      <c r="L87" s="268"/>
      <c r="M87" s="268"/>
      <c r="N87" s="262"/>
    </row>
    <row r="88" spans="2:14" x14ac:dyDescent="0.25">
      <c r="B88" s="300" t="s">
        <v>166</v>
      </c>
      <c r="C88" s="266"/>
      <c r="D88" s="266"/>
      <c r="E88" s="266"/>
      <c r="F88" s="266"/>
      <c r="G88" s="266"/>
      <c r="H88" s="266"/>
      <c r="I88" s="266"/>
      <c r="J88" s="266"/>
      <c r="K88" s="266"/>
      <c r="L88" s="266"/>
      <c r="M88" s="266"/>
      <c r="N88" s="262"/>
    </row>
    <row r="89" spans="2:14" x14ac:dyDescent="0.25"/>
    <row r="90" spans="2:14" x14ac:dyDescent="0.25"/>
    <row r="91" spans="2:14" x14ac:dyDescent="0.25">
      <c r="B91" s="204"/>
    </row>
    <row r="92" spans="2:14" x14ac:dyDescent="0.25"/>
    <row r="93" spans="2:14" x14ac:dyDescent="0.25"/>
    <row r="94" spans="2:14" x14ac:dyDescent="0.25"/>
    <row r="95" spans="2:14" x14ac:dyDescent="0.25"/>
    <row r="96" spans="2:14"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sheetData>
  <sheetProtection algorithmName="SHA-512" hashValue="tcMumhjfluB3j3xAE6j0A81zhzY5S9bpNzvwcePBsBPH1R1X6XmC549vhF7nf5MZLEmL1t4vRcqd1leYoV+OyA==" saltValue="VbT7E4l+1+1ONClbbasVAg==" spinCount="100000" sheet="1" objects="1" scenarios="1"/>
  <protectedRanges>
    <protectedRange sqref="D22:D34" name="Range2"/>
    <protectedRange sqref="C5:C6" name="Range1"/>
  </protectedRanges>
  <mergeCells count="18">
    <mergeCell ref="B64:M64"/>
    <mergeCell ref="B82:L82"/>
    <mergeCell ref="B76:M76"/>
    <mergeCell ref="E17:N17"/>
    <mergeCell ref="E4:N14"/>
    <mergeCell ref="F31:N31"/>
    <mergeCell ref="K55:N55"/>
    <mergeCell ref="C20:E20"/>
    <mergeCell ref="B19:N19"/>
    <mergeCell ref="F22:N29"/>
    <mergeCell ref="F30:N30"/>
    <mergeCell ref="F32:N34"/>
    <mergeCell ref="B66:M66"/>
    <mergeCell ref="B68:M68"/>
    <mergeCell ref="B70:M70"/>
    <mergeCell ref="B72:M72"/>
    <mergeCell ref="B59:M59"/>
    <mergeCell ref="B62:M62"/>
  </mergeCells>
  <conditionalFormatting sqref="C35 E35">
    <cfRule type="cellIs" dxfId="0" priority="2" stopIfTrue="1" operator="greaterThan">
      <formula>$C$6</formula>
    </cfRule>
  </conditionalFormatting>
  <dataValidations count="4">
    <dataValidation type="list" allowBlank="1" showInputMessage="1" showErrorMessage="1" sqref="C5" xr:uid="{00000000-0002-0000-0000-000000000000}">
      <formula1>"Individual,Couple"</formula1>
    </dataValidation>
    <dataValidation allowBlank="1" showErrorMessage="1" sqref="C8:C18" xr:uid="{00000000-0002-0000-0000-000001000000}"/>
    <dataValidation type="decimal" operator="greaterThan" allowBlank="1" showInputMessage="1" showErrorMessage="1" sqref="D22:D34" xr:uid="{00000000-0002-0000-0000-000002000000}">
      <formula1>0</formula1>
    </dataValidation>
    <dataValidation type="list" allowBlank="1" showErrorMessage="1" sqref="C7" xr:uid="{00000000-0002-0000-0000-000003000000}">
      <formula1>"England Wales &amp; NI,Scotland"</formula1>
    </dataValidation>
  </dataValidations>
  <hyperlinks>
    <hyperlink ref="F31:N31" r:id="rId1" display="Click here for more information" xr:uid="{00000000-0004-0000-0000-000000000000}"/>
    <hyperlink ref="K55:N55" location="Chart!A1" display="Exportable chart" xr:uid="{00000000-0004-0000-0000-000001000000}"/>
    <hyperlink ref="B60" r:id="rId2" xr:uid="{00000000-0004-0000-0000-000002000000}"/>
  </hyperlinks>
  <pageMargins left="0.25" right="0.25" top="0.75" bottom="0.75" header="0.3" footer="0.3"/>
  <pageSetup paperSize="8" scale="49" orientation="portrait" r:id="rId3"/>
  <ignoredErrors>
    <ignoredError sqref="C22:C35 E22:E35" evalError="1"/>
  </ignoredErrors>
  <drawing r:id="rId4"/>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error="Minimum gross salary for an individual is £12,500._x000a__x000a_Minimum gross salary for a couple is £23,800." prompt="Minimum gross salary for an individual is £12,500._x000a__x000a_Minimum gross salary for a couple is £23,800." xr:uid="{00000000-0002-0000-0000-000004000000}">
          <x14:formula1>
            <xm:f>IF(C5="individual",Lookups!C39,Lookups!C40)</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14"/>
  <sheetViews>
    <sheetView workbookViewId="0">
      <selection activeCell="D13" sqref="D13"/>
    </sheetView>
  </sheetViews>
  <sheetFormatPr defaultColWidth="9.140625" defaultRowHeight="15" x14ac:dyDescent="0.25"/>
  <cols>
    <col min="1" max="24" width="25.7109375" style="290" customWidth="1"/>
    <col min="25" max="16384" width="9.140625" style="290"/>
  </cols>
  <sheetData>
    <row r="1" spans="1:8" ht="15.75" thickBot="1" x14ac:dyDescent="0.3">
      <c r="A1" s="355" t="s">
        <v>146</v>
      </c>
      <c r="B1" s="356"/>
      <c r="C1" s="356"/>
      <c r="D1" s="356"/>
      <c r="E1" s="356"/>
      <c r="F1" s="356"/>
      <c r="G1" s="356"/>
      <c r="H1" s="357"/>
    </row>
    <row r="2" spans="1:8" ht="42.75" x14ac:dyDescent="0.25">
      <c r="A2" s="291" t="s">
        <v>147</v>
      </c>
      <c r="B2" s="292" t="s">
        <v>148</v>
      </c>
      <c r="C2" s="293" t="s">
        <v>149</v>
      </c>
      <c r="D2" s="293" t="s">
        <v>150</v>
      </c>
      <c r="E2" s="293" t="s">
        <v>151</v>
      </c>
      <c r="F2" s="294" t="s">
        <v>152</v>
      </c>
      <c r="G2" s="294" t="s">
        <v>153</v>
      </c>
      <c r="H2" s="293" t="s">
        <v>154</v>
      </c>
    </row>
    <row r="3" spans="1:8" s="307" customFormat="1" ht="45.75" thickBot="1" x14ac:dyDescent="0.3">
      <c r="A3" s="306" t="s">
        <v>167</v>
      </c>
      <c r="B3" s="306" t="s">
        <v>167</v>
      </c>
      <c r="C3" s="305">
        <v>44280</v>
      </c>
      <c r="D3" s="308" t="s">
        <v>164</v>
      </c>
      <c r="E3" s="304" t="s">
        <v>155</v>
      </c>
      <c r="F3" s="302" t="s">
        <v>156</v>
      </c>
      <c r="G3" s="302" t="s">
        <v>157</v>
      </c>
      <c r="H3" s="302" t="s">
        <v>157</v>
      </c>
    </row>
    <row r="6" spans="1:8" ht="15.75" thickBot="1" x14ac:dyDescent="0.3"/>
    <row r="7" spans="1:8" ht="15.75" thickBot="1" x14ac:dyDescent="0.3">
      <c r="A7" s="358" t="s">
        <v>158</v>
      </c>
      <c r="B7" s="359"/>
      <c r="C7" s="359"/>
      <c r="D7" s="359"/>
      <c r="E7" s="360"/>
    </row>
    <row r="8" spans="1:8" ht="42.75" x14ac:dyDescent="0.25">
      <c r="A8" s="292" t="s">
        <v>159</v>
      </c>
      <c r="B8" s="293" t="s">
        <v>160</v>
      </c>
      <c r="C8" s="296" t="s">
        <v>161</v>
      </c>
      <c r="D8" s="296" t="s">
        <v>162</v>
      </c>
      <c r="E8" s="296" t="s">
        <v>163</v>
      </c>
    </row>
    <row r="9" spans="1:8" s="303" customFormat="1" ht="56.25" x14ac:dyDescent="0.25">
      <c r="A9" s="309" t="s">
        <v>168</v>
      </c>
      <c r="B9" s="310">
        <v>44280</v>
      </c>
      <c r="C9" s="311" t="s">
        <v>169</v>
      </c>
      <c r="D9" s="312" t="s">
        <v>170</v>
      </c>
      <c r="E9" s="311" t="s">
        <v>165</v>
      </c>
    </row>
    <row r="10" spans="1:8" s="303" customFormat="1" ht="33.75" x14ac:dyDescent="0.25">
      <c r="A10" s="309" t="s">
        <v>171</v>
      </c>
      <c r="B10" s="310">
        <v>44650</v>
      </c>
      <c r="C10" s="311" t="s">
        <v>169</v>
      </c>
      <c r="D10" s="312" t="s">
        <v>172</v>
      </c>
      <c r="E10" s="311" t="s">
        <v>173</v>
      </c>
    </row>
    <row r="11" spans="1:8" ht="45" x14ac:dyDescent="0.25">
      <c r="A11" s="309" t="s">
        <v>178</v>
      </c>
      <c r="B11" s="310">
        <v>45383</v>
      </c>
      <c r="C11" s="311" t="s">
        <v>173</v>
      </c>
      <c r="D11" s="312" t="s">
        <v>179</v>
      </c>
      <c r="E11" s="311" t="s">
        <v>173</v>
      </c>
    </row>
    <row r="12" spans="1:8" x14ac:dyDescent="0.25">
      <c r="A12" s="309" t="s">
        <v>182</v>
      </c>
      <c r="B12" s="310">
        <v>45965</v>
      </c>
      <c r="C12" s="311" t="s">
        <v>173</v>
      </c>
      <c r="D12" s="312" t="s">
        <v>183</v>
      </c>
      <c r="E12" s="311" t="s">
        <v>173</v>
      </c>
    </row>
    <row r="13" spans="1:8" x14ac:dyDescent="0.25">
      <c r="A13" s="297"/>
      <c r="B13" s="298"/>
      <c r="C13" s="299"/>
      <c r="D13" s="299"/>
      <c r="E13" s="299"/>
    </row>
    <row r="14" spans="1:8" ht="15.75" thickBot="1" x14ac:dyDescent="0.3">
      <c r="A14" s="295"/>
      <c r="B14" s="295"/>
      <c r="C14" s="295"/>
      <c r="D14" s="295"/>
      <c r="E14" s="295"/>
    </row>
  </sheetData>
  <mergeCells count="2">
    <mergeCell ref="A1:H1"/>
    <mergeCell ref="A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24"/>
  <sheetViews>
    <sheetView showGridLines="0" workbookViewId="0">
      <selection activeCell="N24" sqref="N24"/>
    </sheetView>
  </sheetViews>
  <sheetFormatPr defaultColWidth="0" defaultRowHeight="15" zeroHeight="1" x14ac:dyDescent="0.25"/>
  <cols>
    <col min="1" max="15" width="9.140625" style="1" customWidth="1"/>
    <col min="16" max="16384" width="9.140625" style="1" hidden="1"/>
  </cols>
  <sheetData>
    <row r="1" spans="1:15" x14ac:dyDescent="0.25">
      <c r="A1" s="265"/>
      <c r="B1" s="265"/>
      <c r="C1" s="265"/>
      <c r="D1" s="265"/>
      <c r="E1" s="265"/>
      <c r="F1" s="265"/>
      <c r="G1" s="265"/>
      <c r="H1" s="265"/>
      <c r="I1" s="265"/>
      <c r="J1" s="265"/>
      <c r="K1" s="265"/>
      <c r="L1" s="265"/>
      <c r="M1" s="265"/>
      <c r="N1" s="265"/>
      <c r="O1" s="265"/>
    </row>
    <row r="2" spans="1:15" x14ac:dyDescent="0.25"/>
    <row r="3" spans="1:15" x14ac:dyDescent="0.25"/>
    <row r="4" spans="1:15" x14ac:dyDescent="0.25"/>
    <row r="5" spans="1:15" x14ac:dyDescent="0.25"/>
    <row r="6" spans="1:15" x14ac:dyDescent="0.25"/>
    <row r="7" spans="1:15" x14ac:dyDescent="0.25"/>
    <row r="8" spans="1:15" x14ac:dyDescent="0.25"/>
    <row r="9" spans="1:15" x14ac:dyDescent="0.25"/>
    <row r="10" spans="1:15" x14ac:dyDescent="0.25"/>
    <row r="11" spans="1:15" x14ac:dyDescent="0.25"/>
    <row r="12" spans="1:15" x14ac:dyDescent="0.25"/>
    <row r="13" spans="1:15" x14ac:dyDescent="0.25"/>
    <row r="14" spans="1:15" x14ac:dyDescent="0.25"/>
    <row r="15" spans="1:15" x14ac:dyDescent="0.25"/>
    <row r="16" spans="1:15" x14ac:dyDescent="0.25"/>
    <row r="17" spans="14:14" x14ac:dyDescent="0.25"/>
    <row r="18" spans="14:14" x14ac:dyDescent="0.25"/>
    <row r="19" spans="14:14" x14ac:dyDescent="0.25"/>
    <row r="20" spans="14:14" x14ac:dyDescent="0.25"/>
    <row r="21" spans="14:14" x14ac:dyDescent="0.25"/>
    <row r="22" spans="14:14" x14ac:dyDescent="0.25"/>
    <row r="23" spans="14:14" x14ac:dyDescent="0.25"/>
    <row r="24" spans="14:14" x14ac:dyDescent="0.25">
      <c r="N24" s="289" t="s">
        <v>87</v>
      </c>
    </row>
  </sheetData>
  <sheetProtection password="CB57" sheet="1" objects="1" scenarios="1"/>
  <hyperlinks>
    <hyperlink ref="N24" location="Inputs!A1" display="Main pag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2:Q80"/>
  <sheetViews>
    <sheetView topLeftCell="A44" zoomScale="70" zoomScaleNormal="70" workbookViewId="0">
      <selection activeCell="C59" sqref="C59"/>
    </sheetView>
  </sheetViews>
  <sheetFormatPr defaultRowHeight="15" x14ac:dyDescent="0.25"/>
  <cols>
    <col min="2" max="2" width="33.85546875" bestFit="1" customWidth="1"/>
    <col min="3" max="3" width="19.140625" customWidth="1"/>
    <col min="4" max="4" width="18.140625" customWidth="1"/>
    <col min="5" max="5" width="11.5703125" bestFit="1" customWidth="1"/>
    <col min="6" max="6" width="11.28515625" customWidth="1"/>
    <col min="7" max="7" width="14.42578125" customWidth="1"/>
    <col min="8" max="8" width="10.5703125" bestFit="1" customWidth="1"/>
    <col min="9" max="9" width="27.85546875" bestFit="1" customWidth="1"/>
    <col min="10" max="10" width="13.85546875" bestFit="1" customWidth="1"/>
    <col min="11" max="11" width="33.85546875" bestFit="1" customWidth="1"/>
    <col min="12" max="12" width="19.140625" customWidth="1"/>
    <col min="13" max="13" width="18.140625" customWidth="1"/>
    <col min="14" max="14" width="11.5703125" bestFit="1" customWidth="1"/>
    <col min="15" max="15" width="11.28515625" customWidth="1"/>
    <col min="16" max="16" width="13" bestFit="1" customWidth="1"/>
    <col min="17" max="17" width="12.7109375" customWidth="1"/>
    <col min="18" max="18" width="27.85546875" bestFit="1" customWidth="1"/>
  </cols>
  <sheetData>
    <row r="2" spans="2:17" x14ac:dyDescent="0.25">
      <c r="B2" s="195" t="s">
        <v>76</v>
      </c>
      <c r="C2" s="194"/>
    </row>
    <row r="3" spans="2:17" x14ac:dyDescent="0.25">
      <c r="B3" s="194" t="s">
        <v>73</v>
      </c>
      <c r="C3" s="197" t="s">
        <v>0</v>
      </c>
      <c r="Q3" s="190"/>
    </row>
    <row r="4" spans="2:17" x14ac:dyDescent="0.25">
      <c r="B4" s="194" t="s">
        <v>74</v>
      </c>
      <c r="C4" s="197" t="s">
        <v>1</v>
      </c>
      <c r="Q4" s="190"/>
    </row>
    <row r="5" spans="2:17" x14ac:dyDescent="0.25">
      <c r="B5" s="188" t="s">
        <v>114</v>
      </c>
      <c r="C5" s="197" t="s">
        <v>93</v>
      </c>
    </row>
    <row r="6" spans="2:17" x14ac:dyDescent="0.25">
      <c r="B6" s="188" t="s">
        <v>94</v>
      </c>
      <c r="C6" s="197" t="s">
        <v>95</v>
      </c>
    </row>
    <row r="7" spans="2:17" x14ac:dyDescent="0.25">
      <c r="Q7" s="190"/>
    </row>
    <row r="8" spans="2:17" x14ac:dyDescent="0.25">
      <c r="B8" s="189" t="s">
        <v>84</v>
      </c>
      <c r="C8" s="194"/>
      <c r="Q8" s="190"/>
    </row>
    <row r="9" spans="2:17" x14ac:dyDescent="0.25">
      <c r="B9" s="243" t="s">
        <v>102</v>
      </c>
      <c r="C9" s="244">
        <f>salary*interpolated_factor</f>
        <v>0</v>
      </c>
      <c r="Q9" s="190"/>
    </row>
    <row r="10" spans="2:17" ht="18" x14ac:dyDescent="0.25">
      <c r="H10" s="209"/>
      <c r="Q10" s="190"/>
    </row>
    <row r="11" spans="2:17" ht="18" x14ac:dyDescent="0.25">
      <c r="B11" s="215" t="s">
        <v>112</v>
      </c>
      <c r="H11" s="209"/>
      <c r="Q11" s="190"/>
    </row>
    <row r="12" spans="2:17" ht="18" x14ac:dyDescent="0.25">
      <c r="B12" s="215"/>
      <c r="H12" s="209"/>
      <c r="Q12" s="190"/>
    </row>
    <row r="13" spans="2:17" ht="18" x14ac:dyDescent="0.25">
      <c r="B13" s="223" t="s">
        <v>119</v>
      </c>
      <c r="C13" s="224">
        <v>100000</v>
      </c>
      <c r="H13" s="209"/>
      <c r="Q13" s="190"/>
    </row>
    <row r="14" spans="2:17" ht="18" x14ac:dyDescent="0.25">
      <c r="B14" s="215"/>
      <c r="H14" s="209"/>
      <c r="Q14" s="190"/>
    </row>
    <row r="16" spans="2:17" ht="15.75" thickBot="1" x14ac:dyDescent="0.3"/>
    <row r="17" spans="2:17" x14ac:dyDescent="0.25">
      <c r="B17" s="361" t="s">
        <v>132</v>
      </c>
      <c r="C17" s="362"/>
      <c r="D17" s="362"/>
      <c r="E17" s="362"/>
      <c r="F17" s="362"/>
      <c r="G17" s="362"/>
      <c r="H17" s="363"/>
      <c r="K17" s="361" t="s">
        <v>131</v>
      </c>
      <c r="L17" s="362"/>
      <c r="M17" s="362"/>
      <c r="N17" s="362"/>
      <c r="O17" s="362"/>
      <c r="P17" s="362"/>
      <c r="Q17" s="363"/>
    </row>
    <row r="18" spans="2:17" x14ac:dyDescent="0.25">
      <c r="B18" s="364"/>
      <c r="C18" s="365"/>
      <c r="D18" s="365"/>
      <c r="E18" s="365"/>
      <c r="F18" s="365"/>
      <c r="G18" s="365"/>
      <c r="H18" s="366"/>
      <c r="K18" s="364"/>
      <c r="L18" s="365"/>
      <c r="M18" s="365"/>
      <c r="N18" s="365"/>
      <c r="O18" s="365"/>
      <c r="P18" s="365"/>
      <c r="Q18" s="366"/>
    </row>
    <row r="19" spans="2:17" ht="45" x14ac:dyDescent="0.25">
      <c r="B19" s="233" t="s">
        <v>107</v>
      </c>
      <c r="C19" s="226" t="s">
        <v>120</v>
      </c>
      <c r="D19" s="226" t="s">
        <v>126</v>
      </c>
      <c r="E19" s="217" t="s">
        <v>108</v>
      </c>
      <c r="F19" s="216" t="s">
        <v>109</v>
      </c>
      <c r="G19" s="217" t="s">
        <v>110</v>
      </c>
      <c r="H19" s="234" t="s">
        <v>111</v>
      </c>
      <c r="K19" s="233" t="s">
        <v>107</v>
      </c>
      <c r="L19" s="227" t="s">
        <v>121</v>
      </c>
      <c r="M19" s="226" t="s">
        <v>126</v>
      </c>
      <c r="N19" s="217" t="s">
        <v>108</v>
      </c>
      <c r="O19" s="216" t="s">
        <v>109</v>
      </c>
      <c r="P19" s="217" t="s">
        <v>110</v>
      </c>
      <c r="Q19" s="234" t="s">
        <v>111</v>
      </c>
    </row>
    <row r="20" spans="2:17" x14ac:dyDescent="0.25">
      <c r="B20" s="235" t="s">
        <v>122</v>
      </c>
      <c r="C20" s="224">
        <v>12570</v>
      </c>
      <c r="D20" s="231" t="b">
        <f>IF(country="England Wales &amp; NI",nil_england)</f>
        <v>0</v>
      </c>
      <c r="E20" s="231">
        <f>MAX(nil_band-MAX((annual_income-personal_adj)/2,0),0)</f>
        <v>0</v>
      </c>
      <c r="F20" s="230">
        <v>0</v>
      </c>
      <c r="G20" s="231">
        <f>IF(country="England Wales &amp; NI",MIN(annual_income,adj_nil_band), 0)</f>
        <v>0</v>
      </c>
      <c r="H20" s="236">
        <f>nil_income*nil_rate</f>
        <v>0</v>
      </c>
      <c r="K20" s="235" t="s">
        <v>122</v>
      </c>
      <c r="L20" s="228">
        <v>12570</v>
      </c>
      <c r="M20" s="213" t="b">
        <f>IF(country="Scotland",nil_sco)</f>
        <v>0</v>
      </c>
      <c r="N20" s="213">
        <f>MAX(nil_band_sco-MAX((annual_income-personal_adj)/2,0),0)</f>
        <v>0</v>
      </c>
      <c r="O20" s="214">
        <v>0</v>
      </c>
      <c r="P20" s="213">
        <f>IF(country="Scotland",MIN(annual_income,adj_nil_band_sco), 0)</f>
        <v>0</v>
      </c>
      <c r="Q20" s="313">
        <f>nil_income_Sco*nil_rate_sco</f>
        <v>0</v>
      </c>
    </row>
    <row r="21" spans="2:17" x14ac:dyDescent="0.25">
      <c r="B21" s="235" t="s">
        <v>123</v>
      </c>
      <c r="C21" s="224">
        <v>50270</v>
      </c>
      <c r="D21" s="231" t="b">
        <f>IF(country="England Wales &amp; NI",basic_england)</f>
        <v>0</v>
      </c>
      <c r="E21" s="232"/>
      <c r="F21" s="230">
        <v>0.2</v>
      </c>
      <c r="G21" s="231">
        <f>IF(country="England Wales &amp; NI",MIN(annual_income-nil_income,basic_band-nil_band), 0)</f>
        <v>0</v>
      </c>
      <c r="H21" s="236">
        <f>basic_income*basic_rate</f>
        <v>0</v>
      </c>
      <c r="K21" s="242" t="s">
        <v>128</v>
      </c>
      <c r="L21" s="225">
        <v>16537</v>
      </c>
      <c r="M21" s="211" t="b">
        <f>IF(country="Scotland",starter_sco)</f>
        <v>0</v>
      </c>
      <c r="N21" s="221"/>
      <c r="O21" s="212">
        <v>0.19</v>
      </c>
      <c r="P21" s="211">
        <f>IF(country="Scotland",MIN(annual_income-nil_income_Sco,Starter_band_sco-nil_band_sco), 0)</f>
        <v>0</v>
      </c>
      <c r="Q21" s="313">
        <f>starter_income*starter_rate_sco</f>
        <v>0</v>
      </c>
    </row>
    <row r="22" spans="2:17" x14ac:dyDescent="0.25">
      <c r="B22" s="235" t="s">
        <v>124</v>
      </c>
      <c r="C22" s="224">
        <v>125140</v>
      </c>
      <c r="D22" s="231" t="b">
        <f>IF(country="England Wales &amp; NI",higher_england)</f>
        <v>0</v>
      </c>
      <c r="E22" s="232"/>
      <c r="F22" s="230">
        <v>0.4</v>
      </c>
      <c r="G22" s="231">
        <f>IF(country="England Wales &amp; NI",MIN(annual_income-basic_income-nil_income,higher_band-basic_band+(nil_band-adj_nil_band)), 0)</f>
        <v>0</v>
      </c>
      <c r="H22" s="236">
        <f>higher_income*higher_rate</f>
        <v>0</v>
      </c>
      <c r="K22" s="235" t="s">
        <v>123</v>
      </c>
      <c r="L22" s="225">
        <v>29526</v>
      </c>
      <c r="M22" s="211" t="b">
        <f>IF(country="Scotland",basic_sco)</f>
        <v>0</v>
      </c>
      <c r="N22" s="221"/>
      <c r="O22" s="212">
        <v>0.2</v>
      </c>
      <c r="P22" s="211">
        <f>IF(country="Scotland",MIN(annual_income-starter_income-nil_income_Sco,Basic_band_sco-Starter_band), 0)</f>
        <v>0</v>
      </c>
      <c r="Q22" s="313">
        <f>basic_income_sco*basic_rate_sco</f>
        <v>0</v>
      </c>
    </row>
    <row r="23" spans="2:17" x14ac:dyDescent="0.25">
      <c r="B23" s="235" t="s">
        <v>125</v>
      </c>
      <c r="C23" s="247" t="s">
        <v>174</v>
      </c>
      <c r="D23" s="232"/>
      <c r="E23" s="232"/>
      <c r="F23" s="230">
        <v>0.45</v>
      </c>
      <c r="G23" s="231">
        <f>IF(country="England Wales &amp; NI",SUM(annual_income-higher_income-basic_income-nil_income), 0)</f>
        <v>0</v>
      </c>
      <c r="H23" s="236">
        <f>additional_income*additional_rate</f>
        <v>0</v>
      </c>
      <c r="K23" s="242" t="s">
        <v>129</v>
      </c>
      <c r="L23" s="225">
        <v>43662</v>
      </c>
      <c r="M23" s="211" t="b">
        <f>IF(country="Scotland",Inter_sco)</f>
        <v>0</v>
      </c>
      <c r="N23" s="221"/>
      <c r="O23" s="230">
        <v>0.21</v>
      </c>
      <c r="P23" s="231">
        <f>IF(country="scotland",MIN(annual_income-basic_income_sco-starter_income_sco-nil_income_Sco,inter_band_sco-Basic_band_sco), 0)</f>
        <v>0</v>
      </c>
      <c r="Q23" s="313">
        <f>inter_income_sco*inter_rate_sco</f>
        <v>0</v>
      </c>
    </row>
    <row r="24" spans="2:17" ht="15.75" thickBot="1" x14ac:dyDescent="0.3">
      <c r="B24" s="237" t="s">
        <v>14</v>
      </c>
      <c r="C24" s="238"/>
      <c r="D24" s="238"/>
      <c r="E24" s="238"/>
      <c r="F24" s="239" t="e">
        <f>H24/G24</f>
        <v>#DIV/0!</v>
      </c>
      <c r="G24" s="240">
        <f>SUM(G20:G23)</f>
        <v>0</v>
      </c>
      <c r="H24" s="241">
        <f>nil_tax+basic_tax+higher_tax+additional_tax</f>
        <v>0</v>
      </c>
      <c r="K24" s="235" t="s">
        <v>124</v>
      </c>
      <c r="L24" s="225">
        <v>75000</v>
      </c>
      <c r="M24" s="211" t="b">
        <f>IF(country="Scotland",higher_sco)</f>
        <v>0</v>
      </c>
      <c r="N24" s="222"/>
      <c r="O24" s="230">
        <v>0.42</v>
      </c>
      <c r="P24" s="231">
        <f>IF(country="Scotland",MIN(annual_income-inter_income_sco-basic_income_sco-starter_income_sco-nil_income_Sco,Higher_band_sco-inter_band_sco), 0)</f>
        <v>0</v>
      </c>
      <c r="Q24" s="313">
        <f>higher_income_sco*higher_rate_sco</f>
        <v>0</v>
      </c>
    </row>
    <row r="25" spans="2:17" ht="18" x14ac:dyDescent="0.25">
      <c r="C25" s="210"/>
      <c r="H25" s="209"/>
      <c r="K25" s="235" t="s">
        <v>175</v>
      </c>
      <c r="L25" s="225">
        <v>12140</v>
      </c>
      <c r="M25" s="211" t="b">
        <f>IF(country="Scotland",advanced_sco)</f>
        <v>0</v>
      </c>
      <c r="N25" s="222"/>
      <c r="O25" s="230">
        <v>0.45</v>
      </c>
      <c r="P25" s="231">
        <f>IF(country="Scotland",MIN(annual_income-higher_income_sco-inter_income_sco-basic_income_sco-starter_income_sco-nil_income_Sco,advanced_band_sco-Higher_band_sco+(nil_band_sco-adj_nil_band_sco)), 0)</f>
        <v>0</v>
      </c>
      <c r="Q25" s="313">
        <f>advanced_rate_sco*advanced_income_sco</f>
        <v>0</v>
      </c>
    </row>
    <row r="26" spans="2:17" x14ac:dyDescent="0.25">
      <c r="K26" s="235" t="s">
        <v>130</v>
      </c>
      <c r="L26" s="229" t="s">
        <v>174</v>
      </c>
      <c r="M26" s="222"/>
      <c r="N26" s="222"/>
      <c r="O26" s="230">
        <v>0.48</v>
      </c>
      <c r="P26" s="231">
        <f>IF(country="Scotland",SUM(annual_income-higher_income_sco-inter_income_sco-basic_income_sco-starter_income_sco-nil_income_Sco-advanced_income_sco), 0)</f>
        <v>0</v>
      </c>
      <c r="Q26" s="313">
        <f>top_income_sco*top_rate_sco</f>
        <v>0</v>
      </c>
    </row>
    <row r="27" spans="2:17" ht="15.75" thickBot="1" x14ac:dyDescent="0.3">
      <c r="K27" s="237" t="s">
        <v>14</v>
      </c>
      <c r="L27" s="238"/>
      <c r="M27" s="238"/>
      <c r="N27" s="238"/>
      <c r="O27" s="239" t="e">
        <f>Q27/P27</f>
        <v>#DIV/0!</v>
      </c>
      <c r="P27" s="240">
        <f>SUM(P20:P26)</f>
        <v>0</v>
      </c>
      <c r="Q27" s="314">
        <f>SUM(Q20:Q26)</f>
        <v>0</v>
      </c>
    </row>
    <row r="32" spans="2:17" ht="18" x14ac:dyDescent="0.25">
      <c r="B32" s="194" t="s">
        <v>115</v>
      </c>
      <c r="C32" s="203">
        <f>IF(country="England Wales &amp; NI",SUM(annual_income-total_tax),SUM(annual_income-total_tax_scot))</f>
        <v>0</v>
      </c>
      <c r="H32" s="209"/>
    </row>
    <row r="33" spans="2:12" ht="76.5" x14ac:dyDescent="0.25">
      <c r="B33" s="194" t="s">
        <v>113</v>
      </c>
      <c r="C33" s="203">
        <f>net_income/52</f>
        <v>0</v>
      </c>
      <c r="K33" s="246" t="s">
        <v>176</v>
      </c>
    </row>
    <row r="34" spans="2:12" x14ac:dyDescent="0.25">
      <c r="B34" s="188" t="s">
        <v>92</v>
      </c>
      <c r="C34" s="198" t="e">
        <f>VLOOKUP(exp_type,mapping_table,2,FALSE)</f>
        <v>#N/A</v>
      </c>
      <c r="K34" s="245"/>
    </row>
    <row r="35" spans="2:12" x14ac:dyDescent="0.25">
      <c r="B35" s="188" t="s">
        <v>78</v>
      </c>
      <c r="C35" s="198">
        <f ca="1">IFERROR(MATCH(weekly_expenditure,INDIRECT("'"&amp;form_lookup&amp;"'!"&amp;income_range),1),1)</f>
        <v>1</v>
      </c>
    </row>
    <row r="36" spans="2:12" x14ac:dyDescent="0.25">
      <c r="B36" s="188" t="s">
        <v>116</v>
      </c>
      <c r="C36" s="198" t="e">
        <f ca="1">INDEX(INDIRECT("'"&amp;form_lookup&amp;"'!"&amp;income_range),,quintile)</f>
        <v>#N/A</v>
      </c>
    </row>
    <row r="37" spans="2:12" x14ac:dyDescent="0.25">
      <c r="B37" s="188" t="s">
        <v>75</v>
      </c>
      <c r="C37" s="199" t="e">
        <f ca="1">weekly_expenditure/total_expenditure</f>
        <v>#N/A</v>
      </c>
    </row>
    <row r="39" spans="2:12" x14ac:dyDescent="0.25">
      <c r="B39" s="195" t="s">
        <v>91</v>
      </c>
      <c r="C39" s="195"/>
    </row>
    <row r="40" spans="2:12" x14ac:dyDescent="0.25">
      <c r="B40" s="194" t="s">
        <v>73</v>
      </c>
      <c r="C40" s="202">
        <v>12500</v>
      </c>
    </row>
    <row r="41" spans="2:12" x14ac:dyDescent="0.25">
      <c r="B41" s="194" t="s">
        <v>74</v>
      </c>
      <c r="C41" s="202">
        <v>23800</v>
      </c>
    </row>
    <row r="43" spans="2:12" x14ac:dyDescent="0.25">
      <c r="B43" s="189" t="s">
        <v>96</v>
      </c>
      <c r="C43" s="189" t="s">
        <v>96</v>
      </c>
      <c r="D43" s="194"/>
    </row>
    <row r="44" spans="2:12" ht="120" x14ac:dyDescent="0.25">
      <c r="B44" s="195" t="s">
        <v>117</v>
      </c>
      <c r="C44" s="219" t="s">
        <v>177</v>
      </c>
      <c r="D44" s="220" t="s">
        <v>118</v>
      </c>
    </row>
    <row r="45" spans="2:12" x14ac:dyDescent="0.25">
      <c r="B45" s="196">
        <v>0</v>
      </c>
      <c r="C45" s="206">
        <f>B45*inf</f>
        <v>0</v>
      </c>
      <c r="D45" s="200">
        <v>0.8</v>
      </c>
      <c r="E45" s="369" t="s">
        <v>82</v>
      </c>
      <c r="F45" s="370"/>
      <c r="G45" s="370"/>
      <c r="H45" s="370"/>
      <c r="I45" s="370"/>
      <c r="J45" s="370"/>
      <c r="K45" s="370"/>
      <c r="L45" s="370"/>
    </row>
    <row r="46" spans="2:12" x14ac:dyDescent="0.25">
      <c r="B46" s="196">
        <v>12200</v>
      </c>
      <c r="C46" s="206">
        <f>B46*inf</f>
        <v>17173.562058526742</v>
      </c>
      <c r="D46" s="200">
        <v>0.7</v>
      </c>
    </row>
    <row r="47" spans="2:12" x14ac:dyDescent="0.25">
      <c r="B47" s="196">
        <v>22400</v>
      </c>
      <c r="C47" s="206">
        <f>B47*inf</f>
        <v>31531.786074672051</v>
      </c>
      <c r="D47" s="200">
        <v>0.67</v>
      </c>
      <c r="F47" s="191"/>
    </row>
    <row r="48" spans="2:12" x14ac:dyDescent="0.25">
      <c r="B48" s="196">
        <v>32000</v>
      </c>
      <c r="C48" s="206">
        <f>B48*inf</f>
        <v>45045.408678102933</v>
      </c>
      <c r="D48" s="200">
        <v>0.6</v>
      </c>
    </row>
    <row r="49" spans="2:9" x14ac:dyDescent="0.25">
      <c r="B49" s="196">
        <v>51300</v>
      </c>
      <c r="C49" s="206">
        <f>B49*inf</f>
        <v>72213.420787083756</v>
      </c>
      <c r="D49" s="200">
        <v>0.5</v>
      </c>
    </row>
    <row r="51" spans="2:9" x14ac:dyDescent="0.25">
      <c r="B51" s="195" t="s">
        <v>97</v>
      </c>
      <c r="C51" s="195" t="s">
        <v>81</v>
      </c>
      <c r="D51" s="195" t="s">
        <v>98</v>
      </c>
    </row>
    <row r="52" spans="2:9" x14ac:dyDescent="0.25">
      <c r="B52" s="194" t="s">
        <v>88</v>
      </c>
      <c r="C52" s="203">
        <f>INDEX(replacement_ratio,MATCH(salary,INDEX(replacement_ratio,,1),1),1)</f>
        <v>0</v>
      </c>
      <c r="D52" s="199">
        <f>VLOOKUP(C52,replacement_ratio,2,FALSE)</f>
        <v>0.8</v>
      </c>
    </row>
    <row r="53" spans="2:9" x14ac:dyDescent="0.25">
      <c r="B53" s="194" t="s">
        <v>89</v>
      </c>
      <c r="C53" s="203">
        <f>INDEX(replacement_ratio,MIN(MATCH(salary,INDEX(replacement_ratio,,1),1)+1,5),1)</f>
        <v>17173.562058526742</v>
      </c>
      <c r="D53" s="199">
        <f>VLOOKUP(C53,replacement_ratio,2,FALSE)</f>
        <v>0.7</v>
      </c>
    </row>
    <row r="54" spans="2:9" x14ac:dyDescent="0.25">
      <c r="B54" s="194" t="s">
        <v>90</v>
      </c>
      <c r="C54" s="203">
        <f>salary</f>
        <v>0</v>
      </c>
      <c r="D54" s="218">
        <f>IF(C52=C53,D52,FORECAST(C54,D52:D53,C52:C53))</f>
        <v>0.8</v>
      </c>
    </row>
    <row r="56" spans="2:9" x14ac:dyDescent="0.25">
      <c r="B56" s="194" t="s">
        <v>106</v>
      </c>
      <c r="C56" s="194" t="s">
        <v>105</v>
      </c>
    </row>
    <row r="57" spans="2:9" x14ac:dyDescent="0.25">
      <c r="B57" s="207">
        <v>41518</v>
      </c>
      <c r="C57" s="197">
        <v>99.1</v>
      </c>
      <c r="D57" s="367" t="s">
        <v>103</v>
      </c>
      <c r="E57" s="368"/>
      <c r="F57" s="368"/>
      <c r="G57" s="368"/>
      <c r="H57" s="368"/>
      <c r="I57" s="368"/>
    </row>
    <row r="58" spans="2:9" x14ac:dyDescent="0.25">
      <c r="B58" s="207">
        <v>46023</v>
      </c>
      <c r="C58" s="197">
        <v>139.5</v>
      </c>
      <c r="D58" s="205"/>
    </row>
    <row r="59" spans="2:9" x14ac:dyDescent="0.25">
      <c r="B59" s="194" t="s">
        <v>104</v>
      </c>
      <c r="C59" s="208">
        <f>C58/C57</f>
        <v>1.4076690211907166</v>
      </c>
      <c r="D59" s="205"/>
    </row>
    <row r="60" spans="2:9" x14ac:dyDescent="0.25">
      <c r="D60" s="205"/>
    </row>
    <row r="61" spans="2:9" x14ac:dyDescent="0.25">
      <c r="D61" s="205"/>
    </row>
    <row r="62" spans="2:9" x14ac:dyDescent="0.25">
      <c r="D62" s="205"/>
    </row>
    <row r="63" spans="2:9" x14ac:dyDescent="0.25">
      <c r="D63" s="205"/>
    </row>
    <row r="64" spans="2:9" x14ac:dyDescent="0.25">
      <c r="D64" s="205"/>
    </row>
    <row r="65" spans="4:4" x14ac:dyDescent="0.25">
      <c r="D65" s="205"/>
    </row>
    <row r="66" spans="4:4" x14ac:dyDescent="0.25">
      <c r="D66" s="205"/>
    </row>
    <row r="67" spans="4:4" x14ac:dyDescent="0.25">
      <c r="D67" s="205"/>
    </row>
    <row r="68" spans="4:4" x14ac:dyDescent="0.25">
      <c r="D68" s="205"/>
    </row>
    <row r="69" spans="4:4" x14ac:dyDescent="0.25">
      <c r="D69" s="205"/>
    </row>
    <row r="70" spans="4:4" x14ac:dyDescent="0.25">
      <c r="D70" s="205"/>
    </row>
    <row r="71" spans="4:4" x14ac:dyDescent="0.25">
      <c r="D71" s="205"/>
    </row>
    <row r="72" spans="4:4" x14ac:dyDescent="0.25">
      <c r="D72" s="205"/>
    </row>
    <row r="73" spans="4:4" x14ac:dyDescent="0.25">
      <c r="D73" s="205"/>
    </row>
    <row r="74" spans="4:4" x14ac:dyDescent="0.25">
      <c r="D74" s="205"/>
    </row>
    <row r="75" spans="4:4" x14ac:dyDescent="0.25">
      <c r="D75" s="205"/>
    </row>
    <row r="76" spans="4:4" x14ac:dyDescent="0.25">
      <c r="D76" s="205"/>
    </row>
    <row r="77" spans="4:4" x14ac:dyDescent="0.25">
      <c r="D77" s="205"/>
    </row>
    <row r="78" spans="4:4" x14ac:dyDescent="0.25">
      <c r="D78" s="205"/>
    </row>
    <row r="79" spans="4:4" x14ac:dyDescent="0.25">
      <c r="D79" s="205"/>
    </row>
    <row r="80" spans="4:4" x14ac:dyDescent="0.25">
      <c r="D80" s="205"/>
    </row>
  </sheetData>
  <mergeCells count="4">
    <mergeCell ref="B17:H18"/>
    <mergeCell ref="K17:Q18"/>
    <mergeCell ref="D57:I57"/>
    <mergeCell ref="E45:L45"/>
  </mergeCells>
  <hyperlinks>
    <hyperlink ref="D57" r:id="rId1" xr:uid="{00000000-0004-0000-0300-000000000000}"/>
    <hyperlink ref="E45:L45" r:id="rId2" display="https://www.gov.uk/government/uploads/system/uploads/attachment_data/file/254321/framework-analysis-future-pensio-incomes.pdf" xr:uid="{00000000-0004-0000-0300-000001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J82"/>
  <sheetViews>
    <sheetView zoomScale="145" zoomScaleNormal="145" workbookViewId="0">
      <selection activeCell="G60" sqref="G60"/>
    </sheetView>
  </sheetViews>
  <sheetFormatPr defaultColWidth="9.85546875" defaultRowHeight="11.25" x14ac:dyDescent="0.25"/>
  <cols>
    <col min="1" max="1" width="4.85546875" style="103" customWidth="1"/>
    <col min="2" max="2" width="5.28515625" style="103" customWidth="1"/>
    <col min="3" max="3" width="29.140625" style="166" customWidth="1"/>
    <col min="4" max="4" width="6.42578125" style="166" customWidth="1"/>
    <col min="5" max="9" width="8.7109375" style="106" customWidth="1"/>
    <col min="10" max="10" width="10.5703125" style="97" customWidth="1"/>
    <col min="11" max="16384" width="9.85546875" style="97"/>
  </cols>
  <sheetData>
    <row r="1" spans="1:10" s="82" customFormat="1" ht="15.75" customHeight="1" x14ac:dyDescent="0.25">
      <c r="A1" s="80" t="s">
        <v>57</v>
      </c>
      <c r="B1" s="81"/>
      <c r="D1" s="83"/>
      <c r="E1" s="84"/>
      <c r="F1" s="84"/>
      <c r="G1" s="84"/>
      <c r="H1" s="84"/>
      <c r="I1" s="84"/>
      <c r="J1" s="85"/>
    </row>
    <row r="2" spans="1:10" s="82" customFormat="1" ht="15.75" customHeight="1" x14ac:dyDescent="0.25">
      <c r="A2" s="86" t="s">
        <v>58</v>
      </c>
      <c r="B2" s="87"/>
      <c r="D2" s="88"/>
      <c r="E2" s="89"/>
      <c r="F2" s="89"/>
      <c r="G2" s="89"/>
      <c r="H2" s="89"/>
    </row>
    <row r="3" spans="1:10" s="82" customFormat="1" ht="15.75" customHeight="1" x14ac:dyDescent="0.25">
      <c r="A3" s="86" t="s">
        <v>59</v>
      </c>
      <c r="D3" s="90"/>
      <c r="E3" s="91"/>
      <c r="F3" s="91"/>
      <c r="G3" s="91"/>
      <c r="H3" s="91"/>
      <c r="I3" s="91"/>
    </row>
    <row r="4" spans="1:10" s="82" customFormat="1" ht="15.75" customHeight="1" x14ac:dyDescent="0.25">
      <c r="A4" s="92" t="s">
        <v>15</v>
      </c>
      <c r="B4" s="93"/>
      <c r="C4" s="93"/>
      <c r="D4" s="90"/>
      <c r="E4" s="91"/>
      <c r="F4" s="91"/>
      <c r="G4" s="91"/>
      <c r="H4" s="91"/>
      <c r="I4" s="91"/>
    </row>
    <row r="5" spans="1:10" ht="6" customHeight="1" x14ac:dyDescent="0.25">
      <c r="A5" s="94"/>
      <c r="B5" s="94"/>
      <c r="C5" s="95"/>
      <c r="D5" s="95"/>
      <c r="E5" s="96"/>
      <c r="F5" s="96"/>
      <c r="G5" s="96"/>
      <c r="H5" s="96"/>
      <c r="I5" s="96"/>
    </row>
    <row r="6" spans="1:10" s="100" customFormat="1" ht="4.5" customHeight="1" x14ac:dyDescent="0.25">
      <c r="A6" s="98"/>
      <c r="B6" s="99"/>
      <c r="E6" s="101"/>
      <c r="F6" s="101"/>
      <c r="G6" s="101"/>
      <c r="H6" s="101"/>
      <c r="I6" s="101"/>
      <c r="J6" s="102"/>
    </row>
    <row r="7" spans="1:10" ht="12.75" customHeight="1" x14ac:dyDescent="0.25">
      <c r="C7" s="104"/>
      <c r="D7" s="104"/>
      <c r="E7" s="105" t="s">
        <v>16</v>
      </c>
      <c r="F7" s="105" t="s">
        <v>17</v>
      </c>
      <c r="G7" s="105" t="s">
        <v>18</v>
      </c>
      <c r="H7" s="105" t="s">
        <v>19</v>
      </c>
      <c r="I7" s="105" t="s">
        <v>20</v>
      </c>
      <c r="J7" s="105" t="s">
        <v>21</v>
      </c>
    </row>
    <row r="8" spans="1:10" ht="12.75" customHeight="1" x14ac:dyDescent="0.25">
      <c r="C8" s="106"/>
      <c r="D8" s="106"/>
      <c r="E8" s="105" t="s">
        <v>22</v>
      </c>
      <c r="F8" s="105" t="s">
        <v>23</v>
      </c>
      <c r="G8" s="105" t="s">
        <v>23</v>
      </c>
      <c r="H8" s="105" t="s">
        <v>23</v>
      </c>
      <c r="I8" s="105" t="s">
        <v>22</v>
      </c>
      <c r="J8" s="105" t="s">
        <v>24</v>
      </c>
    </row>
    <row r="9" spans="1:10" ht="12.75" customHeight="1" x14ac:dyDescent="0.25">
      <c r="A9" s="94"/>
      <c r="B9" s="94"/>
      <c r="C9" s="107"/>
      <c r="D9" s="107"/>
      <c r="E9" s="108" t="s">
        <v>25</v>
      </c>
      <c r="F9" s="108" t="s">
        <v>26</v>
      </c>
      <c r="G9" s="108" t="s">
        <v>26</v>
      </c>
      <c r="H9" s="108" t="s">
        <v>26</v>
      </c>
      <c r="I9" s="108" t="s">
        <v>25</v>
      </c>
      <c r="J9" s="108" t="s">
        <v>27</v>
      </c>
    </row>
    <row r="10" spans="1:10" ht="6" customHeight="1" x14ac:dyDescent="0.25">
      <c r="C10" s="106"/>
      <c r="D10" s="106"/>
      <c r="E10" s="105"/>
      <c r="F10" s="105"/>
      <c r="G10" s="105"/>
      <c r="H10" s="105"/>
      <c r="I10" s="105"/>
      <c r="J10" s="105"/>
    </row>
    <row r="11" spans="1:10" s="113" customFormat="1" ht="12.75" customHeight="1" x14ac:dyDescent="0.25">
      <c r="A11" s="109" t="s">
        <v>60</v>
      </c>
      <c r="B11" s="110"/>
      <c r="C11" s="111"/>
      <c r="D11" s="111"/>
      <c r="E11" s="111" t="s">
        <v>28</v>
      </c>
      <c r="F11" s="111">
        <v>298</v>
      </c>
      <c r="G11" s="111">
        <v>487</v>
      </c>
      <c r="H11" s="111">
        <v>744</v>
      </c>
      <c r="I11" s="112">
        <v>1112</v>
      </c>
      <c r="J11" s="111"/>
    </row>
    <row r="12" spans="1:10" ht="6" customHeight="1" x14ac:dyDescent="0.25">
      <c r="A12" s="94"/>
      <c r="B12" s="94"/>
      <c r="C12" s="95"/>
      <c r="D12" s="95"/>
      <c r="E12" s="96"/>
      <c r="F12" s="96"/>
      <c r="G12" s="96"/>
      <c r="H12" s="96"/>
      <c r="I12" s="96"/>
      <c r="J12" s="96"/>
    </row>
    <row r="13" spans="1:10" ht="6" customHeight="1" x14ac:dyDescent="0.25">
      <c r="B13" s="114"/>
      <c r="C13" s="106"/>
      <c r="D13" s="106"/>
      <c r="E13" s="115"/>
      <c r="F13" s="115"/>
      <c r="G13" s="115"/>
      <c r="H13" s="115"/>
      <c r="I13" s="115"/>
      <c r="J13" s="115"/>
    </row>
    <row r="14" spans="1:10" ht="12.75" customHeight="1" x14ac:dyDescent="0.25">
      <c r="A14" s="103" t="s">
        <v>61</v>
      </c>
      <c r="B14" s="114"/>
      <c r="C14" s="106"/>
      <c r="D14" s="106"/>
      <c r="E14" s="116">
        <v>1430</v>
      </c>
      <c r="F14" s="116">
        <v>880</v>
      </c>
      <c r="G14" s="116">
        <v>310</v>
      </c>
      <c r="H14" s="116">
        <v>70</v>
      </c>
      <c r="I14" s="116">
        <v>30</v>
      </c>
      <c r="J14" s="116">
        <v>2720</v>
      </c>
    </row>
    <row r="15" spans="1:10" s="38" customFormat="1" ht="12.75" customHeight="1" x14ac:dyDescent="0.25">
      <c r="A15" s="33" t="s">
        <v>29</v>
      </c>
      <c r="B15" s="34"/>
      <c r="C15" s="35"/>
      <c r="D15" s="35"/>
      <c r="E15" s="35">
        <v>800</v>
      </c>
      <c r="F15" s="35">
        <v>490</v>
      </c>
      <c r="G15" s="35">
        <v>170</v>
      </c>
      <c r="H15" s="35">
        <v>40</v>
      </c>
      <c r="I15" s="116">
        <v>20</v>
      </c>
      <c r="J15" s="35">
        <v>1510</v>
      </c>
    </row>
    <row r="16" spans="1:10" s="38" customFormat="1" ht="12.75" customHeight="1" x14ac:dyDescent="0.25">
      <c r="A16" s="33" t="s">
        <v>30</v>
      </c>
      <c r="B16" s="34"/>
      <c r="C16" s="35"/>
      <c r="D16" s="35"/>
      <c r="E16" s="35">
        <v>800</v>
      </c>
      <c r="F16" s="35">
        <v>490</v>
      </c>
      <c r="G16" s="35">
        <v>170</v>
      </c>
      <c r="H16" s="35">
        <v>40</v>
      </c>
      <c r="I16" s="116">
        <v>20</v>
      </c>
      <c r="J16" s="35">
        <v>1510</v>
      </c>
    </row>
    <row r="17" spans="1:10" s="38" customFormat="1" ht="12.75" customHeight="1" x14ac:dyDescent="0.25">
      <c r="A17" s="33" t="s">
        <v>31</v>
      </c>
      <c r="B17" s="34"/>
      <c r="C17" s="35"/>
      <c r="D17" s="35"/>
      <c r="E17" s="35">
        <v>800</v>
      </c>
      <c r="F17" s="35">
        <v>490</v>
      </c>
      <c r="G17" s="35">
        <v>170</v>
      </c>
      <c r="H17" s="35">
        <v>40</v>
      </c>
      <c r="I17" s="116">
        <v>20</v>
      </c>
      <c r="J17" s="35">
        <v>1510</v>
      </c>
    </row>
    <row r="18" spans="1:10" ht="6" customHeight="1" x14ac:dyDescent="0.25">
      <c r="B18" s="114"/>
      <c r="C18" s="106"/>
      <c r="D18" s="106"/>
      <c r="E18" s="117"/>
      <c r="F18" s="117"/>
      <c r="G18" s="117"/>
      <c r="H18" s="117"/>
      <c r="I18" s="117"/>
      <c r="J18" s="117"/>
    </row>
    <row r="19" spans="1:10" s="121" customFormat="1" ht="12.75" customHeight="1" x14ac:dyDescent="0.25">
      <c r="A19" s="118" t="s">
        <v>32</v>
      </c>
      <c r="B19" s="119"/>
      <c r="C19" s="120"/>
      <c r="D19" s="120"/>
      <c r="E19" s="120">
        <v>1</v>
      </c>
      <c r="F19" s="120">
        <v>1</v>
      </c>
      <c r="G19" s="120">
        <v>1</v>
      </c>
      <c r="H19" s="120">
        <v>1</v>
      </c>
      <c r="I19" s="120">
        <v>1</v>
      </c>
      <c r="J19" s="120">
        <v>1</v>
      </c>
    </row>
    <row r="20" spans="1:10" ht="6" customHeight="1" x14ac:dyDescent="0.25">
      <c r="A20" s="94"/>
      <c r="B20" s="94"/>
      <c r="C20" s="95"/>
      <c r="D20" s="95"/>
      <c r="E20" s="96"/>
      <c r="F20" s="96"/>
      <c r="G20" s="96"/>
      <c r="H20" s="96"/>
      <c r="I20" s="96"/>
      <c r="J20" s="96"/>
    </row>
    <row r="21" spans="1:10" ht="6" customHeight="1" x14ac:dyDescent="0.25">
      <c r="B21" s="114"/>
      <c r="C21" s="106"/>
      <c r="D21" s="106"/>
      <c r="E21" s="117"/>
      <c r="F21" s="117"/>
      <c r="G21" s="117"/>
      <c r="H21" s="117"/>
      <c r="I21" s="117"/>
      <c r="J21" s="117"/>
    </row>
    <row r="22" spans="1:10" s="123" customFormat="1" ht="12.75" customHeight="1" x14ac:dyDescent="0.25">
      <c r="A22" s="122" t="s">
        <v>33</v>
      </c>
      <c r="C22" s="124"/>
      <c r="D22" s="124"/>
      <c r="E22" s="371" t="s">
        <v>34</v>
      </c>
      <c r="F22" s="371"/>
      <c r="G22" s="371"/>
      <c r="H22" s="371"/>
      <c r="I22" s="371"/>
      <c r="J22" s="371"/>
    </row>
    <row r="23" spans="1:10" ht="6" customHeight="1" x14ac:dyDescent="0.25">
      <c r="A23" s="94"/>
      <c r="B23" s="95"/>
      <c r="C23" s="95"/>
      <c r="D23" s="95"/>
      <c r="E23" s="96"/>
      <c r="F23" s="96"/>
      <c r="G23" s="96"/>
      <c r="H23" s="96"/>
      <c r="I23" s="96"/>
      <c r="J23" s="96"/>
    </row>
    <row r="24" spans="1:10" s="125" customFormat="1" ht="6" customHeight="1" x14ac:dyDescent="0.2">
      <c r="E24" s="126"/>
      <c r="F24" s="126"/>
      <c r="G24" s="126"/>
      <c r="H24" s="126"/>
      <c r="I24" s="126"/>
      <c r="J24" s="126"/>
    </row>
    <row r="25" spans="1:10" s="131" customFormat="1" ht="12.95" customHeight="1" x14ac:dyDescent="0.25">
      <c r="A25" s="127" t="s">
        <v>35</v>
      </c>
      <c r="B25" s="128" t="s">
        <v>2</v>
      </c>
      <c r="C25" s="129"/>
      <c r="D25" s="129"/>
      <c r="E25" s="130">
        <v>29.6</v>
      </c>
      <c r="F25" s="130">
        <v>33.799999999999997</v>
      </c>
      <c r="G25" s="130">
        <v>39.200000000000003</v>
      </c>
      <c r="H25" s="130">
        <v>41</v>
      </c>
      <c r="I25" s="130">
        <v>39.799999999999997</v>
      </c>
      <c r="J25" s="130">
        <v>32.5</v>
      </c>
    </row>
    <row r="26" spans="1:10" s="135" customFormat="1" ht="7.5" customHeight="1" x14ac:dyDescent="0.25">
      <c r="A26" s="132"/>
      <c r="B26" s="133"/>
      <c r="C26" s="134"/>
      <c r="D26" s="134"/>
      <c r="E26" s="130"/>
      <c r="F26" s="130"/>
      <c r="G26" s="130"/>
      <c r="H26" s="130"/>
      <c r="I26" s="130"/>
      <c r="J26" s="130"/>
    </row>
    <row r="27" spans="1:10" s="131" customFormat="1" ht="12.95" customHeight="1" x14ac:dyDescent="0.25">
      <c r="A27" s="127" t="s">
        <v>36</v>
      </c>
      <c r="B27" s="128" t="s">
        <v>3</v>
      </c>
      <c r="C27" s="129"/>
      <c r="D27" s="129"/>
      <c r="E27" s="130">
        <v>5.0999999999999996</v>
      </c>
      <c r="F27" s="130">
        <v>5.3</v>
      </c>
      <c r="G27" s="130">
        <v>6.5</v>
      </c>
      <c r="H27" s="130">
        <v>13.1</v>
      </c>
      <c r="I27" s="136">
        <v>26.3</v>
      </c>
      <c r="J27" s="130">
        <v>5.8</v>
      </c>
    </row>
    <row r="28" spans="1:10" s="135" customFormat="1" ht="7.5" customHeight="1" x14ac:dyDescent="0.25">
      <c r="A28" s="132"/>
      <c r="B28" s="133"/>
      <c r="C28" s="134"/>
      <c r="D28" s="134"/>
      <c r="E28" s="130"/>
      <c r="F28" s="130"/>
      <c r="G28" s="130"/>
      <c r="H28" s="130"/>
      <c r="I28" s="130"/>
      <c r="J28" s="130"/>
    </row>
    <row r="29" spans="1:10" s="131" customFormat="1" ht="12.95" customHeight="1" x14ac:dyDescent="0.25">
      <c r="A29" s="127" t="s">
        <v>37</v>
      </c>
      <c r="B29" s="131" t="s">
        <v>4</v>
      </c>
      <c r="C29" s="129"/>
      <c r="D29" s="129"/>
      <c r="E29" s="130">
        <v>6.4</v>
      </c>
      <c r="F29" s="130">
        <v>8.3000000000000007</v>
      </c>
      <c r="G29" s="130">
        <v>12.7</v>
      </c>
      <c r="H29" s="136">
        <v>4.5999999999999996</v>
      </c>
      <c r="I29" s="136">
        <v>8.6999999999999993</v>
      </c>
      <c r="J29" s="130">
        <v>7.7</v>
      </c>
    </row>
    <row r="30" spans="1:10" s="135" customFormat="1" ht="7.5" customHeight="1" x14ac:dyDescent="0.25">
      <c r="A30" s="132"/>
      <c r="B30" s="133"/>
      <c r="C30" s="134"/>
      <c r="D30" s="134"/>
      <c r="E30" s="130"/>
      <c r="F30" s="130"/>
      <c r="G30" s="130"/>
      <c r="H30" s="130"/>
      <c r="I30" s="130"/>
      <c r="J30" s="130"/>
    </row>
    <row r="31" spans="1:10" s="131" customFormat="1" ht="12.95" customHeight="1" x14ac:dyDescent="0.25">
      <c r="A31" s="127" t="s">
        <v>38</v>
      </c>
      <c r="B31" s="128" t="s">
        <v>62</v>
      </c>
      <c r="C31" s="129"/>
      <c r="D31" s="129"/>
      <c r="E31" s="130">
        <v>40.799999999999997</v>
      </c>
      <c r="F31" s="130">
        <v>46.7</v>
      </c>
      <c r="G31" s="130">
        <v>51.9</v>
      </c>
      <c r="H31" s="130">
        <v>49.4</v>
      </c>
      <c r="I31" s="130">
        <v>93.6</v>
      </c>
      <c r="J31" s="130">
        <v>44.9</v>
      </c>
    </row>
    <row r="32" spans="1:10" s="135" customFormat="1" ht="7.5" customHeight="1" x14ac:dyDescent="0.25">
      <c r="A32" s="132"/>
      <c r="B32" s="133"/>
      <c r="C32" s="134"/>
      <c r="D32" s="134"/>
      <c r="E32" s="130"/>
      <c r="F32" s="130"/>
      <c r="G32" s="130"/>
      <c r="H32" s="130"/>
      <c r="I32" s="130"/>
      <c r="J32" s="130"/>
    </row>
    <row r="33" spans="1:10" s="131" customFormat="1" ht="12.95" customHeight="1" x14ac:dyDescent="0.25">
      <c r="A33" s="127" t="s">
        <v>39</v>
      </c>
      <c r="B33" s="128" t="s">
        <v>5</v>
      </c>
      <c r="C33" s="129"/>
      <c r="D33" s="129"/>
      <c r="E33" s="130">
        <v>13.5</v>
      </c>
      <c r="F33" s="130">
        <v>23.4</v>
      </c>
      <c r="G33" s="130">
        <v>25.4</v>
      </c>
      <c r="H33" s="130">
        <v>19.899999999999999</v>
      </c>
      <c r="I33" s="136">
        <v>110.8</v>
      </c>
      <c r="J33" s="130">
        <v>19.600000000000001</v>
      </c>
    </row>
    <row r="34" spans="1:10" s="135" customFormat="1" ht="7.5" customHeight="1" x14ac:dyDescent="0.25">
      <c r="A34" s="132"/>
      <c r="B34" s="133"/>
      <c r="C34" s="134"/>
      <c r="D34" s="134"/>
      <c r="E34" s="130"/>
      <c r="F34" s="130"/>
      <c r="G34" s="130"/>
      <c r="H34" s="130"/>
      <c r="I34" s="136"/>
      <c r="J34" s="130"/>
    </row>
    <row r="35" spans="1:10" s="131" customFormat="1" ht="12.95" customHeight="1" x14ac:dyDescent="0.25">
      <c r="A35" s="127" t="s">
        <v>40</v>
      </c>
      <c r="B35" s="128" t="s">
        <v>6</v>
      </c>
      <c r="C35" s="129"/>
      <c r="D35" s="129"/>
      <c r="E35" s="130">
        <v>3.4</v>
      </c>
      <c r="F35" s="130">
        <v>4.9000000000000004</v>
      </c>
      <c r="G35" s="130">
        <v>9.5</v>
      </c>
      <c r="H35" s="130">
        <v>13.9</v>
      </c>
      <c r="I35" s="136">
        <v>17.899999999999999</v>
      </c>
      <c r="J35" s="130">
        <v>5.0999999999999996</v>
      </c>
    </row>
    <row r="36" spans="1:10" s="135" customFormat="1" ht="7.5" customHeight="1" x14ac:dyDescent="0.25">
      <c r="A36" s="132"/>
      <c r="B36" s="133"/>
      <c r="C36" s="134"/>
      <c r="D36" s="134"/>
      <c r="E36" s="130"/>
      <c r="F36" s="130"/>
      <c r="G36" s="130"/>
      <c r="H36" s="130"/>
      <c r="I36" s="136"/>
      <c r="J36" s="130"/>
    </row>
    <row r="37" spans="1:10" s="131" customFormat="1" ht="12.95" customHeight="1" x14ac:dyDescent="0.25">
      <c r="A37" s="127" t="s">
        <v>41</v>
      </c>
      <c r="B37" s="128" t="s">
        <v>7</v>
      </c>
      <c r="C37" s="129"/>
      <c r="D37" s="129"/>
      <c r="E37" s="130">
        <v>12.8</v>
      </c>
      <c r="F37" s="130">
        <v>25.1</v>
      </c>
      <c r="G37" s="130">
        <v>52.7</v>
      </c>
      <c r="H37" s="130">
        <v>47</v>
      </c>
      <c r="I37" s="136">
        <v>92.4</v>
      </c>
      <c r="J37" s="130">
        <v>23.2</v>
      </c>
    </row>
    <row r="38" spans="1:10" s="135" customFormat="1" ht="7.5" customHeight="1" x14ac:dyDescent="0.25">
      <c r="A38" s="132"/>
      <c r="B38" s="133"/>
      <c r="C38" s="134"/>
      <c r="D38" s="134"/>
      <c r="E38" s="130"/>
      <c r="F38" s="130"/>
      <c r="G38" s="130"/>
      <c r="H38" s="130"/>
      <c r="I38" s="130"/>
      <c r="J38" s="130"/>
    </row>
    <row r="39" spans="1:10" s="131" customFormat="1" ht="12.95" customHeight="1" x14ac:dyDescent="0.25">
      <c r="A39" s="127" t="s">
        <v>42</v>
      </c>
      <c r="B39" s="128" t="s">
        <v>8</v>
      </c>
      <c r="C39" s="129"/>
      <c r="D39" s="129"/>
      <c r="E39" s="130">
        <v>7</v>
      </c>
      <c r="F39" s="130">
        <v>8.6999999999999993</v>
      </c>
      <c r="G39" s="130">
        <v>10.5</v>
      </c>
      <c r="H39" s="130">
        <v>9.4</v>
      </c>
      <c r="I39" s="130">
        <v>13.6</v>
      </c>
      <c r="J39" s="130">
        <v>8.1</v>
      </c>
    </row>
    <row r="40" spans="1:10" s="135" customFormat="1" ht="7.5" customHeight="1" x14ac:dyDescent="0.25">
      <c r="A40" s="132"/>
      <c r="B40" s="133"/>
      <c r="C40" s="134"/>
      <c r="D40" s="134"/>
      <c r="E40" s="130"/>
      <c r="F40" s="130"/>
      <c r="G40" s="130"/>
      <c r="H40" s="130"/>
      <c r="I40" s="130"/>
      <c r="J40" s="130"/>
    </row>
    <row r="41" spans="1:10" s="131" customFormat="1" ht="12.95" customHeight="1" x14ac:dyDescent="0.25">
      <c r="A41" s="127" t="s">
        <v>43</v>
      </c>
      <c r="B41" s="128" t="s">
        <v>9</v>
      </c>
      <c r="C41" s="129"/>
      <c r="D41" s="129"/>
      <c r="E41" s="130">
        <v>21.4</v>
      </c>
      <c r="F41" s="130">
        <v>33.5</v>
      </c>
      <c r="G41" s="130">
        <v>52.7</v>
      </c>
      <c r="H41" s="130">
        <v>73.7</v>
      </c>
      <c r="I41" s="130">
        <v>164.9</v>
      </c>
      <c r="J41" s="130">
        <v>32</v>
      </c>
    </row>
    <row r="42" spans="1:10" s="135" customFormat="1" ht="7.5" customHeight="1" x14ac:dyDescent="0.25">
      <c r="A42" s="132"/>
      <c r="B42" s="133"/>
      <c r="C42" s="134"/>
      <c r="D42" s="134"/>
      <c r="E42" s="130"/>
      <c r="F42" s="130"/>
      <c r="G42" s="130"/>
      <c r="H42" s="130"/>
      <c r="I42" s="130"/>
      <c r="J42" s="130"/>
    </row>
    <row r="43" spans="1:10" s="131" customFormat="1" ht="12.95" customHeight="1" x14ac:dyDescent="0.25">
      <c r="A43" s="127" t="s">
        <v>44</v>
      </c>
      <c r="B43" s="128" t="s">
        <v>10</v>
      </c>
      <c r="C43" s="129"/>
      <c r="D43" s="129"/>
      <c r="E43" s="136">
        <v>0</v>
      </c>
      <c r="F43" s="136">
        <v>0.4</v>
      </c>
      <c r="G43" s="136">
        <v>0</v>
      </c>
      <c r="H43" s="136">
        <v>6.2</v>
      </c>
      <c r="I43" s="136">
        <v>9.1</v>
      </c>
      <c r="J43" s="136">
        <v>0.4</v>
      </c>
    </row>
    <row r="44" spans="1:10" s="135" customFormat="1" ht="7.5" customHeight="1" x14ac:dyDescent="0.25">
      <c r="A44" s="132"/>
      <c r="B44" s="133"/>
      <c r="C44" s="134"/>
      <c r="D44" s="134"/>
      <c r="E44" s="130"/>
      <c r="F44" s="130"/>
      <c r="G44" s="130"/>
      <c r="H44" s="130"/>
      <c r="I44" s="136"/>
      <c r="J44" s="130"/>
    </row>
    <row r="45" spans="1:10" s="131" customFormat="1" ht="12.95" customHeight="1" x14ac:dyDescent="0.25">
      <c r="A45" s="127" t="s">
        <v>45</v>
      </c>
      <c r="B45" s="128" t="s">
        <v>11</v>
      </c>
      <c r="C45" s="129"/>
      <c r="D45" s="129"/>
      <c r="E45" s="130">
        <v>9.3000000000000007</v>
      </c>
      <c r="F45" s="130">
        <v>15.5</v>
      </c>
      <c r="G45" s="130">
        <v>23.2</v>
      </c>
      <c r="H45" s="130">
        <v>25.1</v>
      </c>
      <c r="I45" s="136">
        <v>67.099999999999994</v>
      </c>
      <c r="J45" s="130">
        <v>14</v>
      </c>
    </row>
    <row r="46" spans="1:10" s="135" customFormat="1" ht="7.5" customHeight="1" x14ac:dyDescent="0.25">
      <c r="A46" s="132"/>
      <c r="B46" s="133"/>
      <c r="C46" s="134"/>
      <c r="D46" s="134"/>
      <c r="E46" s="130"/>
      <c r="F46" s="130"/>
      <c r="G46" s="130"/>
      <c r="H46" s="130"/>
      <c r="I46" s="136"/>
      <c r="J46" s="130"/>
    </row>
    <row r="47" spans="1:10" s="131" customFormat="1" ht="12.95" customHeight="1" x14ac:dyDescent="0.25">
      <c r="A47" s="127" t="s">
        <v>46</v>
      </c>
      <c r="B47" s="128" t="s">
        <v>12</v>
      </c>
      <c r="C47" s="129"/>
      <c r="D47" s="129"/>
      <c r="E47" s="130">
        <v>12.2</v>
      </c>
      <c r="F47" s="130">
        <v>21.8</v>
      </c>
      <c r="G47" s="130">
        <v>41.7</v>
      </c>
      <c r="H47" s="130">
        <v>69.599999999999994</v>
      </c>
      <c r="I47" s="130">
        <v>51.3</v>
      </c>
      <c r="J47" s="130">
        <v>20.7</v>
      </c>
    </row>
    <row r="48" spans="1:10" s="135" customFormat="1" ht="7.5" customHeight="1" x14ac:dyDescent="0.25">
      <c r="B48" s="133"/>
      <c r="C48" s="134"/>
      <c r="D48" s="134"/>
      <c r="E48" s="137"/>
      <c r="F48" s="137"/>
      <c r="G48" s="137"/>
      <c r="H48" s="137"/>
      <c r="I48" s="138"/>
      <c r="J48" s="137"/>
    </row>
    <row r="49" spans="1:10" s="131" customFormat="1" ht="6" customHeight="1" x14ac:dyDescent="0.25">
      <c r="A49" s="132"/>
      <c r="B49" s="133"/>
      <c r="C49" s="134"/>
      <c r="D49" s="134"/>
      <c r="E49" s="130"/>
      <c r="F49" s="130"/>
      <c r="G49" s="130"/>
      <c r="H49" s="130"/>
      <c r="I49" s="136"/>
      <c r="J49" s="130"/>
    </row>
    <row r="50" spans="1:10" s="135" customFormat="1" ht="12.95" customHeight="1" x14ac:dyDescent="0.25">
      <c r="A50" s="127" t="s">
        <v>47</v>
      </c>
      <c r="B50" s="128" t="s">
        <v>48</v>
      </c>
      <c r="C50" s="131"/>
      <c r="D50" s="129"/>
      <c r="E50" s="130">
        <v>161.4</v>
      </c>
      <c r="F50" s="130">
        <v>227.4</v>
      </c>
      <c r="G50" s="130">
        <v>325.89999999999998</v>
      </c>
      <c r="H50" s="130">
        <v>372.8</v>
      </c>
      <c r="I50" s="130">
        <v>695.6</v>
      </c>
      <c r="J50" s="130">
        <v>213.9</v>
      </c>
    </row>
    <row r="51" spans="1:10" s="135" customFormat="1" ht="7.5" customHeight="1" x14ac:dyDescent="0.25">
      <c r="A51" s="132"/>
      <c r="C51" s="134"/>
      <c r="D51" s="134"/>
      <c r="E51" s="137"/>
      <c r="F51" s="137"/>
      <c r="G51" s="137"/>
      <c r="H51" s="137"/>
      <c r="I51" s="138"/>
      <c r="J51" s="137"/>
    </row>
    <row r="52" spans="1:10" ht="6" customHeight="1" x14ac:dyDescent="0.25">
      <c r="A52" s="132"/>
      <c r="B52" s="135"/>
      <c r="C52" s="134"/>
      <c r="D52" s="134"/>
      <c r="E52" s="130"/>
      <c r="F52" s="130"/>
      <c r="G52" s="130"/>
      <c r="H52" s="130"/>
      <c r="I52" s="136"/>
      <c r="J52" s="130"/>
    </row>
    <row r="53" spans="1:10" s="131" customFormat="1" ht="12.95" customHeight="1" x14ac:dyDescent="0.25">
      <c r="A53" s="127" t="s">
        <v>49</v>
      </c>
      <c r="B53" s="128" t="s">
        <v>13</v>
      </c>
      <c r="C53" s="129"/>
      <c r="D53" s="129"/>
      <c r="E53" s="130">
        <v>21.9</v>
      </c>
      <c r="F53" s="130">
        <v>35</v>
      </c>
      <c r="G53" s="130">
        <v>58.7</v>
      </c>
      <c r="H53" s="130">
        <v>147.9</v>
      </c>
      <c r="I53" s="130">
        <v>85.9</v>
      </c>
      <c r="J53" s="130">
        <v>34.200000000000003</v>
      </c>
    </row>
    <row r="54" spans="1:10" s="114" customFormat="1" ht="7.5" customHeight="1" x14ac:dyDescent="0.25">
      <c r="A54" s="139"/>
      <c r="B54" s="140"/>
      <c r="C54" s="141"/>
      <c r="D54" s="141"/>
      <c r="E54" s="142"/>
      <c r="F54" s="138"/>
      <c r="G54" s="142"/>
      <c r="H54" s="95"/>
      <c r="I54" s="138"/>
      <c r="J54" s="95"/>
    </row>
    <row r="55" spans="1:10" s="114" customFormat="1" ht="6" customHeight="1" x14ac:dyDescent="0.2">
      <c r="A55" s="99"/>
      <c r="B55" s="143"/>
      <c r="C55" s="134"/>
      <c r="D55" s="144"/>
      <c r="E55" s="97"/>
      <c r="F55" s="136"/>
      <c r="G55" s="97"/>
      <c r="H55" s="97"/>
      <c r="I55" s="136"/>
      <c r="J55" s="97"/>
    </row>
    <row r="56" spans="1:10" s="146" customFormat="1" ht="12.95" customHeight="1" x14ac:dyDescent="0.25">
      <c r="A56" s="145" t="s">
        <v>50</v>
      </c>
      <c r="C56" s="129"/>
      <c r="D56" s="129"/>
      <c r="E56" s="147">
        <v>183.3</v>
      </c>
      <c r="F56" s="147">
        <v>262.39999999999998</v>
      </c>
      <c r="G56" s="147">
        <v>384.6</v>
      </c>
      <c r="H56" s="147">
        <v>520.70000000000005</v>
      </c>
      <c r="I56" s="147">
        <v>781.5</v>
      </c>
      <c r="J56" s="147">
        <v>248.1</v>
      </c>
    </row>
    <row r="57" spans="1:10" s="114" customFormat="1" ht="7.5" customHeight="1" x14ac:dyDescent="0.25">
      <c r="A57" s="139"/>
      <c r="B57" s="148"/>
      <c r="C57" s="141"/>
      <c r="D57" s="149"/>
      <c r="E57" s="150"/>
      <c r="F57" s="151"/>
      <c r="G57" s="150"/>
      <c r="H57" s="150"/>
      <c r="I57" s="152"/>
      <c r="J57" s="150"/>
    </row>
    <row r="58" spans="1:10" s="125" customFormat="1" ht="6" customHeight="1" x14ac:dyDescent="0.2">
      <c r="A58" s="99"/>
      <c r="B58" s="143"/>
      <c r="C58" s="134"/>
      <c r="D58" s="153"/>
      <c r="E58" s="154"/>
      <c r="F58" s="155"/>
      <c r="G58" s="154"/>
      <c r="H58" s="154"/>
      <c r="I58" s="147"/>
      <c r="J58" s="154"/>
    </row>
    <row r="59" spans="1:10" ht="12.95" customHeight="1" x14ac:dyDescent="0.25">
      <c r="A59" s="156" t="s">
        <v>51</v>
      </c>
      <c r="B59" s="157"/>
      <c r="C59" s="158"/>
      <c r="D59" s="158"/>
      <c r="E59" s="154"/>
      <c r="F59" s="155"/>
      <c r="G59" s="154"/>
      <c r="H59" s="154"/>
      <c r="I59" s="147"/>
      <c r="J59" s="154"/>
    </row>
    <row r="60" spans="1:10" ht="12.95" customHeight="1" x14ac:dyDescent="0.25">
      <c r="A60" s="159" t="s">
        <v>50</v>
      </c>
      <c r="B60" s="128"/>
      <c r="C60" s="129"/>
      <c r="D60" s="129"/>
      <c r="E60" s="147">
        <v>183.3</v>
      </c>
      <c r="F60" s="147">
        <v>262.39999999999998</v>
      </c>
      <c r="G60" s="147">
        <v>384.6</v>
      </c>
      <c r="H60" s="147">
        <v>520.70000000000005</v>
      </c>
      <c r="I60" s="147">
        <v>781.5</v>
      </c>
      <c r="J60" s="147">
        <v>248.1</v>
      </c>
    </row>
    <row r="61" spans="1:10" ht="6" customHeight="1" x14ac:dyDescent="0.25">
      <c r="A61" s="139"/>
      <c r="B61" s="148"/>
      <c r="C61" s="149"/>
      <c r="D61" s="149"/>
      <c r="E61" s="160"/>
      <c r="F61" s="160"/>
      <c r="G61" s="160"/>
      <c r="H61" s="160"/>
      <c r="I61" s="160"/>
      <c r="J61" s="160"/>
    </row>
    <row r="62" spans="1:10" ht="6" customHeight="1" x14ac:dyDescent="0.25">
      <c r="A62" s="99"/>
      <c r="B62" s="143"/>
      <c r="C62" s="153"/>
      <c r="D62" s="153"/>
      <c r="E62" s="161"/>
      <c r="F62" s="161"/>
      <c r="G62" s="161"/>
      <c r="H62" s="161"/>
      <c r="I62" s="161"/>
      <c r="J62" s="161"/>
    </row>
    <row r="63" spans="1:10" ht="12" customHeight="1" x14ac:dyDescent="0.2">
      <c r="A63" s="162" t="s">
        <v>52</v>
      </c>
      <c r="B63" s="143"/>
      <c r="C63" s="153"/>
      <c r="D63" s="163"/>
      <c r="E63" s="164"/>
      <c r="F63" s="164"/>
      <c r="G63" s="164"/>
      <c r="H63" s="164"/>
      <c r="I63" s="164"/>
      <c r="J63" s="164"/>
    </row>
    <row r="64" spans="1:10" ht="12" customHeight="1" x14ac:dyDescent="0.2">
      <c r="A64" s="165" t="s">
        <v>53</v>
      </c>
      <c r="F64" s="164"/>
      <c r="G64" s="164"/>
      <c r="H64" s="164"/>
      <c r="I64" s="164"/>
    </row>
    <row r="65" spans="1:9" ht="12" customHeight="1" x14ac:dyDescent="0.2">
      <c r="A65" s="163" t="s">
        <v>54</v>
      </c>
    </row>
    <row r="66" spans="1:9" ht="12" customHeight="1" x14ac:dyDescent="0.2">
      <c r="A66" s="163" t="s">
        <v>63</v>
      </c>
      <c r="B66" s="143"/>
      <c r="C66" s="153"/>
      <c r="D66" s="163"/>
      <c r="E66" s="164"/>
      <c r="F66" s="125"/>
    </row>
    <row r="67" spans="1:9" ht="12" customHeight="1" x14ac:dyDescent="0.2">
      <c r="A67" s="163" t="s">
        <v>64</v>
      </c>
      <c r="F67" s="97"/>
      <c r="G67" s="125"/>
      <c r="H67" s="125"/>
      <c r="I67" s="125"/>
    </row>
    <row r="68" spans="1:9" s="125" customFormat="1" ht="12.75" customHeight="1" x14ac:dyDescent="0.2">
      <c r="A68" s="162" t="s">
        <v>65</v>
      </c>
      <c r="B68" s="103"/>
      <c r="C68" s="166"/>
      <c r="D68" s="166"/>
      <c r="E68" s="106"/>
      <c r="F68" s="106"/>
      <c r="G68" s="106"/>
      <c r="H68" s="106"/>
      <c r="I68" s="106"/>
    </row>
    <row r="69" spans="1:9" ht="12.75" customHeight="1" x14ac:dyDescent="0.2">
      <c r="A69" s="165" t="s">
        <v>66</v>
      </c>
      <c r="B69" s="125"/>
      <c r="C69" s="125"/>
      <c r="D69" s="125"/>
      <c r="E69" s="125"/>
      <c r="F69" s="125"/>
      <c r="G69" s="164"/>
      <c r="H69" s="164"/>
      <c r="I69" s="164"/>
    </row>
    <row r="70" spans="1:9" s="125" customFormat="1" ht="12.75" customHeight="1" x14ac:dyDescent="0.2">
      <c r="A70" s="103"/>
      <c r="E70" s="126"/>
      <c r="F70" s="126"/>
      <c r="G70" s="126"/>
      <c r="H70" s="126"/>
      <c r="I70" s="126"/>
    </row>
    <row r="71" spans="1:9" ht="12.75" customHeight="1" x14ac:dyDescent="0.2">
      <c r="A71" s="125"/>
      <c r="B71" s="125"/>
      <c r="C71" s="125"/>
    </row>
    <row r="72" spans="1:9" ht="12.75" customHeight="1" x14ac:dyDescent="0.2">
      <c r="A72" s="163" t="s">
        <v>56</v>
      </c>
    </row>
    <row r="73" spans="1:9" ht="12.75" customHeight="1" x14ac:dyDescent="0.25"/>
    <row r="74" spans="1:9" ht="12.75" customHeight="1" x14ac:dyDescent="0.25"/>
    <row r="75" spans="1:9" ht="12.75" customHeight="1" x14ac:dyDescent="0.2">
      <c r="A75" s="167"/>
    </row>
    <row r="76" spans="1:9" ht="12.75" customHeight="1" x14ac:dyDescent="0.25"/>
    <row r="77" spans="1:9" ht="12.75" customHeight="1" x14ac:dyDescent="0.25"/>
    <row r="78" spans="1:9" ht="12.75" customHeight="1" x14ac:dyDescent="0.25"/>
    <row r="79" spans="1:9" ht="12.75" customHeight="1" x14ac:dyDescent="0.25"/>
    <row r="80" spans="1:9" ht="12.75" customHeight="1" x14ac:dyDescent="0.25"/>
    <row r="81" ht="12.75" customHeight="1" x14ac:dyDescent="0.25"/>
    <row r="82" ht="12.75" customHeight="1" x14ac:dyDescent="0.25"/>
  </sheetData>
  <mergeCells count="1">
    <mergeCell ref="E22:J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O80"/>
  <sheetViews>
    <sheetView workbookViewId="0"/>
  </sheetViews>
  <sheetFormatPr defaultRowHeight="15" x14ac:dyDescent="0.25"/>
  <sheetData>
    <row r="1" spans="1:41" ht="15.75" x14ac:dyDescent="0.25">
      <c r="A1" s="4" t="s">
        <v>67</v>
      </c>
      <c r="B1" s="177"/>
      <c r="C1" s="178"/>
      <c r="D1" s="178"/>
      <c r="E1" s="179"/>
      <c r="F1" s="179"/>
      <c r="G1" s="179"/>
      <c r="H1" s="179"/>
      <c r="I1" s="179"/>
      <c r="J1" s="180"/>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41" ht="15.75" x14ac:dyDescent="0.25">
      <c r="A2" s="4" t="s">
        <v>68</v>
      </c>
      <c r="B2" s="181"/>
      <c r="C2" s="6"/>
      <c r="D2" s="182"/>
      <c r="E2" s="183"/>
      <c r="F2" s="183"/>
      <c r="G2" s="183"/>
      <c r="H2" s="183"/>
      <c r="I2" s="183"/>
      <c r="J2" s="7"/>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1" ht="18.75" x14ac:dyDescent="0.25">
      <c r="A3" s="4" t="s">
        <v>69</v>
      </c>
      <c r="B3" s="181"/>
      <c r="C3" s="6"/>
      <c r="D3" s="184"/>
      <c r="E3" s="183"/>
      <c r="F3" s="183"/>
      <c r="G3" s="183"/>
      <c r="H3" s="183"/>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row>
    <row r="4" spans="1:41" ht="15.75" x14ac:dyDescent="0.25">
      <c r="A4" s="9" t="s">
        <v>15</v>
      </c>
      <c r="B4" s="5"/>
      <c r="C4" s="8"/>
      <c r="D4" s="184"/>
      <c r="E4" s="183"/>
      <c r="F4" s="183"/>
      <c r="G4" s="183"/>
      <c r="H4" s="183"/>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row>
    <row r="5" spans="1:41" x14ac:dyDescent="0.25">
      <c r="A5" s="10"/>
      <c r="B5" s="10"/>
      <c r="C5" s="11"/>
      <c r="D5" s="11"/>
      <c r="E5" s="12"/>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row>
    <row r="6" spans="1:41" x14ac:dyDescent="0.25">
      <c r="A6" s="14"/>
      <c r="B6" s="15"/>
      <c r="C6" s="16"/>
      <c r="D6" s="16"/>
      <c r="E6" s="17"/>
      <c r="F6" s="17"/>
      <c r="G6" s="17"/>
      <c r="H6" s="17"/>
      <c r="I6" s="17"/>
      <c r="J6" s="18"/>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row>
    <row r="7" spans="1:41" x14ac:dyDescent="0.25">
      <c r="A7" s="13"/>
      <c r="B7" s="13"/>
      <c r="C7" s="19"/>
      <c r="D7" s="19"/>
      <c r="E7" s="20" t="s">
        <v>16</v>
      </c>
      <c r="F7" s="20" t="s">
        <v>17</v>
      </c>
      <c r="G7" s="20" t="s">
        <v>18</v>
      </c>
      <c r="H7" s="20" t="s">
        <v>19</v>
      </c>
      <c r="I7" s="20" t="s">
        <v>20</v>
      </c>
      <c r="J7" s="20" t="s">
        <v>21</v>
      </c>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1" x14ac:dyDescent="0.25">
      <c r="A8" s="13"/>
      <c r="B8" s="13"/>
      <c r="C8" s="21"/>
      <c r="D8" s="21"/>
      <c r="E8" s="20" t="s">
        <v>22</v>
      </c>
      <c r="F8" s="20" t="s">
        <v>23</v>
      </c>
      <c r="G8" s="20" t="s">
        <v>23</v>
      </c>
      <c r="H8" s="20" t="s">
        <v>23</v>
      </c>
      <c r="I8" s="20" t="s">
        <v>22</v>
      </c>
      <c r="J8" s="20" t="s">
        <v>24</v>
      </c>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row>
    <row r="9" spans="1:41" x14ac:dyDescent="0.25">
      <c r="A9" s="10"/>
      <c r="B9" s="10"/>
      <c r="C9" s="22"/>
      <c r="D9" s="22"/>
      <c r="E9" s="23" t="s">
        <v>25</v>
      </c>
      <c r="F9" s="23" t="s">
        <v>26</v>
      </c>
      <c r="G9" s="23" t="s">
        <v>26</v>
      </c>
      <c r="H9" s="23" t="s">
        <v>26</v>
      </c>
      <c r="I9" s="23" t="s">
        <v>25</v>
      </c>
      <c r="J9" s="23" t="s">
        <v>27</v>
      </c>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row>
    <row r="10" spans="1:41" x14ac:dyDescent="0.25">
      <c r="A10" s="13"/>
      <c r="B10" s="13"/>
      <c r="C10" s="21"/>
      <c r="D10" s="21"/>
      <c r="E10" s="24"/>
      <c r="F10" s="24"/>
      <c r="G10" s="24"/>
      <c r="H10" s="24"/>
      <c r="I10" s="24"/>
      <c r="J10" s="24"/>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x14ac:dyDescent="0.25">
      <c r="A11" s="25" t="s">
        <v>70</v>
      </c>
      <c r="B11" s="26"/>
      <c r="C11" s="27"/>
      <c r="D11" s="27"/>
      <c r="E11" s="27" t="s">
        <v>28</v>
      </c>
      <c r="F11" s="27">
        <v>298</v>
      </c>
      <c r="G11" s="27">
        <v>487</v>
      </c>
      <c r="H11" s="27">
        <v>744</v>
      </c>
      <c r="I11" s="28">
        <v>1112</v>
      </c>
      <c r="J11" s="27"/>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row>
    <row r="12" spans="1:41" x14ac:dyDescent="0.25">
      <c r="A12" s="10"/>
      <c r="B12" s="10"/>
      <c r="C12" s="11"/>
      <c r="D12" s="11"/>
      <c r="E12" s="12"/>
      <c r="F12" s="12"/>
      <c r="G12" s="12"/>
      <c r="H12" s="12"/>
      <c r="I12" s="12"/>
      <c r="J12" s="12"/>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row>
    <row r="13" spans="1:41" x14ac:dyDescent="0.25">
      <c r="A13" s="13"/>
      <c r="B13" s="30"/>
      <c r="C13" s="21"/>
      <c r="D13" s="21"/>
      <c r="E13" s="31"/>
      <c r="F13" s="31"/>
      <c r="G13" s="31"/>
      <c r="H13" s="31"/>
      <c r="I13" s="31"/>
      <c r="J13" s="31"/>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row>
    <row r="14" spans="1:41" x14ac:dyDescent="0.25">
      <c r="A14" s="32" t="s">
        <v>61</v>
      </c>
      <c r="B14" s="30"/>
      <c r="C14" s="21"/>
      <c r="D14" s="21"/>
      <c r="E14" s="185">
        <v>200</v>
      </c>
      <c r="F14" s="185">
        <v>920</v>
      </c>
      <c r="G14" s="185">
        <v>860</v>
      </c>
      <c r="H14" s="185">
        <v>500</v>
      </c>
      <c r="I14" s="185">
        <v>200</v>
      </c>
      <c r="J14" s="185">
        <v>2690</v>
      </c>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row>
    <row r="15" spans="1:41" x14ac:dyDescent="0.25">
      <c r="A15" s="33" t="s">
        <v>29</v>
      </c>
      <c r="B15" s="34"/>
      <c r="C15" s="35"/>
      <c r="D15" s="35"/>
      <c r="E15" s="35">
        <v>120</v>
      </c>
      <c r="F15" s="35">
        <v>630</v>
      </c>
      <c r="G15" s="35">
        <v>600</v>
      </c>
      <c r="H15" s="35">
        <v>330</v>
      </c>
      <c r="I15" s="35">
        <v>130</v>
      </c>
      <c r="J15" s="35">
        <v>1800</v>
      </c>
      <c r="K15" s="36"/>
      <c r="L15" s="36"/>
      <c r="M15" s="36"/>
      <c r="N15" s="36"/>
      <c r="O15" s="36"/>
      <c r="P15" s="36"/>
      <c r="Q15" s="37"/>
      <c r="R15" s="37"/>
      <c r="S15" s="37"/>
      <c r="T15" s="37"/>
      <c r="U15" s="37"/>
      <c r="V15" s="37"/>
      <c r="W15" s="37"/>
      <c r="X15" s="37"/>
      <c r="Y15" s="37"/>
      <c r="Z15" s="37"/>
      <c r="AA15" s="37"/>
      <c r="AB15" s="38"/>
      <c r="AC15" s="38"/>
      <c r="AD15" s="38"/>
      <c r="AE15" s="38"/>
      <c r="AF15" s="38"/>
      <c r="AG15" s="38"/>
      <c r="AH15" s="38"/>
      <c r="AI15" s="38"/>
      <c r="AJ15" s="38"/>
      <c r="AK15" s="38"/>
      <c r="AL15" s="38"/>
      <c r="AM15" s="38"/>
      <c r="AN15" s="38"/>
      <c r="AO15" s="38"/>
    </row>
    <row r="16" spans="1:41" x14ac:dyDescent="0.25">
      <c r="A16" s="33" t="s">
        <v>30</v>
      </c>
      <c r="B16" s="34"/>
      <c r="C16" s="35"/>
      <c r="D16" s="35"/>
      <c r="E16" s="35">
        <v>230</v>
      </c>
      <c r="F16" s="35">
        <v>1250</v>
      </c>
      <c r="G16" s="35">
        <v>1190</v>
      </c>
      <c r="H16" s="35">
        <v>670</v>
      </c>
      <c r="I16" s="35">
        <v>260</v>
      </c>
      <c r="J16" s="35">
        <v>3600</v>
      </c>
      <c r="K16" s="36"/>
      <c r="L16" s="36"/>
      <c r="M16" s="36"/>
      <c r="N16" s="36"/>
      <c r="O16" s="36"/>
      <c r="P16" s="36"/>
      <c r="Q16" s="37"/>
      <c r="R16" s="37"/>
      <c r="S16" s="37"/>
      <c r="T16" s="37"/>
      <c r="U16" s="37"/>
      <c r="V16" s="37"/>
      <c r="W16" s="37"/>
      <c r="X16" s="37"/>
      <c r="Y16" s="37"/>
      <c r="Z16" s="37"/>
      <c r="AA16" s="37"/>
      <c r="AB16" s="38"/>
      <c r="AC16" s="38"/>
      <c r="AD16" s="38"/>
      <c r="AE16" s="38"/>
      <c r="AF16" s="38"/>
      <c r="AG16" s="38"/>
      <c r="AH16" s="38"/>
      <c r="AI16" s="38"/>
      <c r="AJ16" s="38"/>
      <c r="AK16" s="38"/>
      <c r="AL16" s="38"/>
      <c r="AM16" s="38"/>
      <c r="AN16" s="38"/>
      <c r="AO16" s="38"/>
    </row>
    <row r="17" spans="1:20" x14ac:dyDescent="0.25">
      <c r="A17" s="33" t="s">
        <v>31</v>
      </c>
      <c r="B17" s="34"/>
      <c r="C17" s="35"/>
      <c r="D17" s="35"/>
      <c r="E17" s="35">
        <v>230</v>
      </c>
      <c r="F17" s="35">
        <v>1250</v>
      </c>
      <c r="G17" s="35">
        <v>1190</v>
      </c>
      <c r="H17" s="35">
        <v>670</v>
      </c>
      <c r="I17" s="35">
        <v>260</v>
      </c>
      <c r="J17" s="35">
        <v>3600</v>
      </c>
      <c r="K17" s="36"/>
      <c r="L17" s="36"/>
      <c r="M17" s="36"/>
      <c r="N17" s="36"/>
      <c r="O17" s="36"/>
      <c r="P17" s="36"/>
      <c r="Q17" s="38"/>
      <c r="R17" s="38"/>
      <c r="S17" s="38"/>
      <c r="T17" s="38"/>
    </row>
    <row r="18" spans="1:20" x14ac:dyDescent="0.25">
      <c r="A18" s="13"/>
      <c r="B18" s="30"/>
      <c r="C18" s="21"/>
      <c r="D18" s="21"/>
      <c r="E18" s="24"/>
      <c r="F18" s="24"/>
      <c r="G18" s="24"/>
      <c r="H18" s="24"/>
      <c r="I18" s="24"/>
      <c r="J18" s="24"/>
      <c r="K18" s="13"/>
      <c r="L18" s="13"/>
      <c r="M18" s="13"/>
      <c r="N18" s="13"/>
      <c r="O18" s="13"/>
      <c r="P18" s="13"/>
      <c r="Q18" s="13"/>
      <c r="R18" s="13"/>
      <c r="S18" s="13"/>
      <c r="T18" s="13"/>
    </row>
    <row r="19" spans="1:20" x14ac:dyDescent="0.25">
      <c r="A19" s="39" t="s">
        <v>32</v>
      </c>
      <c r="B19" s="40"/>
      <c r="C19" s="41"/>
      <c r="D19" s="41"/>
      <c r="E19" s="41">
        <v>2</v>
      </c>
      <c r="F19" s="41">
        <v>2</v>
      </c>
      <c r="G19" s="41">
        <v>2</v>
      </c>
      <c r="H19" s="41">
        <v>2</v>
      </c>
      <c r="I19" s="41">
        <v>2</v>
      </c>
      <c r="J19" s="41">
        <v>2</v>
      </c>
      <c r="K19" s="42"/>
      <c r="L19" s="42"/>
      <c r="M19" s="42"/>
      <c r="N19" s="42"/>
      <c r="O19" s="42"/>
      <c r="P19" s="42"/>
      <c r="Q19" s="42"/>
      <c r="R19" s="42"/>
      <c r="S19" s="42"/>
      <c r="T19" s="42"/>
    </row>
    <row r="20" spans="1:20" x14ac:dyDescent="0.25">
      <c r="A20" s="10"/>
      <c r="B20" s="10"/>
      <c r="C20" s="11"/>
      <c r="D20" s="11"/>
      <c r="E20" s="12"/>
      <c r="F20" s="12"/>
      <c r="G20" s="12"/>
      <c r="H20" s="12"/>
      <c r="I20" s="12"/>
      <c r="J20" s="12"/>
      <c r="K20" s="42"/>
      <c r="L20" s="42"/>
      <c r="M20" s="42"/>
      <c r="N20" s="42"/>
      <c r="O20" s="42"/>
      <c r="P20" s="42"/>
      <c r="Q20" s="13"/>
      <c r="R20" s="13"/>
      <c r="S20" s="13"/>
      <c r="T20" s="13"/>
    </row>
    <row r="21" spans="1:20" x14ac:dyDescent="0.25">
      <c r="A21" s="13"/>
      <c r="B21" s="30"/>
      <c r="C21" s="21"/>
      <c r="D21" s="21"/>
      <c r="E21" s="24"/>
      <c r="F21" s="24"/>
      <c r="G21" s="24"/>
      <c r="H21" s="24"/>
      <c r="I21" s="24"/>
      <c r="J21" s="24"/>
      <c r="K21" s="42"/>
      <c r="L21" s="42"/>
      <c r="M21" s="42"/>
      <c r="N21" s="42"/>
      <c r="O21" s="42"/>
      <c r="P21" s="42"/>
      <c r="Q21" s="13"/>
      <c r="R21" s="13"/>
      <c r="S21" s="13"/>
      <c r="T21" s="13"/>
    </row>
    <row r="22" spans="1:20" x14ac:dyDescent="0.25">
      <c r="A22" s="168" t="s">
        <v>33</v>
      </c>
      <c r="B22" s="44"/>
      <c r="C22" s="169"/>
      <c r="D22" s="169"/>
      <c r="E22" s="170" t="s">
        <v>34</v>
      </c>
      <c r="F22" s="171"/>
      <c r="G22" s="172"/>
      <c r="H22" s="171"/>
      <c r="I22" s="172"/>
      <c r="J22" s="171"/>
      <c r="K22" s="43"/>
      <c r="L22" s="43"/>
      <c r="M22" s="43"/>
      <c r="N22" s="43"/>
      <c r="O22" s="43"/>
      <c r="P22" s="43"/>
      <c r="Q22" s="44"/>
      <c r="R22" s="44"/>
      <c r="S22" s="44"/>
      <c r="T22" s="44"/>
    </row>
    <row r="23" spans="1:20" x14ac:dyDescent="0.25">
      <c r="A23" s="10"/>
      <c r="B23" s="11"/>
      <c r="C23" s="11"/>
      <c r="D23" s="11"/>
      <c r="E23" s="12"/>
      <c r="F23" s="12"/>
      <c r="G23" s="12"/>
      <c r="H23" s="12"/>
      <c r="I23" s="12"/>
      <c r="J23" s="12"/>
      <c r="K23" s="42"/>
      <c r="L23" s="42"/>
      <c r="M23" s="42"/>
      <c r="N23" s="42"/>
      <c r="O23" s="42"/>
      <c r="P23" s="42"/>
      <c r="Q23" s="36"/>
      <c r="R23" s="36"/>
      <c r="S23" s="36"/>
      <c r="T23" s="36"/>
    </row>
    <row r="24" spans="1:20" x14ac:dyDescent="0.25">
      <c r="A24" s="37"/>
      <c r="B24" s="37"/>
      <c r="C24" s="37"/>
      <c r="D24" s="37"/>
      <c r="E24" s="45"/>
      <c r="F24" s="45"/>
      <c r="G24" s="45"/>
      <c r="H24" s="45"/>
      <c r="I24" s="45"/>
      <c r="J24" s="45"/>
      <c r="K24" s="42"/>
      <c r="L24" s="42"/>
      <c r="M24" s="42"/>
      <c r="N24" s="42"/>
      <c r="O24" s="42"/>
      <c r="P24" s="42"/>
      <c r="Q24" s="37"/>
      <c r="R24" s="37"/>
      <c r="S24" s="37"/>
      <c r="T24" s="37"/>
    </row>
    <row r="25" spans="1:20" x14ac:dyDescent="0.25">
      <c r="A25" s="46" t="s">
        <v>35</v>
      </c>
      <c r="B25" s="2" t="s">
        <v>2</v>
      </c>
      <c r="C25" s="47"/>
      <c r="D25" s="47"/>
      <c r="E25" s="48">
        <v>55.4</v>
      </c>
      <c r="F25" s="48">
        <v>56.6</v>
      </c>
      <c r="G25" s="48">
        <v>62.3</v>
      </c>
      <c r="H25" s="48">
        <v>69.400000000000006</v>
      </c>
      <c r="I25" s="48">
        <v>80.8</v>
      </c>
      <c r="J25" s="48">
        <v>62.6</v>
      </c>
      <c r="K25" s="42"/>
      <c r="L25" s="42"/>
      <c r="M25" s="42"/>
      <c r="N25" s="42"/>
      <c r="O25" s="42"/>
      <c r="P25" s="42"/>
      <c r="Q25" s="42"/>
      <c r="R25" s="42"/>
      <c r="S25" s="42"/>
      <c r="T25" s="42"/>
    </row>
    <row r="26" spans="1:20" x14ac:dyDescent="0.25">
      <c r="A26" s="50"/>
      <c r="B26" s="51"/>
      <c r="C26" s="52"/>
      <c r="D26" s="52"/>
      <c r="E26" s="48"/>
      <c r="F26" s="48"/>
      <c r="G26" s="48"/>
      <c r="H26" s="48"/>
      <c r="I26" s="48"/>
      <c r="J26" s="48"/>
      <c r="K26" s="42"/>
      <c r="L26" s="42"/>
      <c r="M26" s="42"/>
      <c r="N26" s="42"/>
      <c r="O26" s="42"/>
      <c r="P26" s="42"/>
      <c r="Q26" s="53"/>
      <c r="R26" s="53"/>
      <c r="S26" s="53"/>
      <c r="T26" s="53"/>
    </row>
    <row r="27" spans="1:20" x14ac:dyDescent="0.25">
      <c r="A27" s="46" t="s">
        <v>36</v>
      </c>
      <c r="B27" s="2" t="s">
        <v>3</v>
      </c>
      <c r="C27" s="47"/>
      <c r="D27" s="47"/>
      <c r="E27" s="48">
        <v>10.6</v>
      </c>
      <c r="F27" s="48">
        <v>9.6999999999999993</v>
      </c>
      <c r="G27" s="48">
        <v>12.4</v>
      </c>
      <c r="H27" s="48">
        <v>14.9</v>
      </c>
      <c r="I27" s="48">
        <v>21.2</v>
      </c>
      <c r="J27" s="48">
        <v>12.5</v>
      </c>
      <c r="K27" s="42"/>
      <c r="L27" s="42"/>
      <c r="M27" s="42"/>
      <c r="N27" s="42"/>
      <c r="O27" s="42"/>
      <c r="P27" s="42"/>
      <c r="Q27" s="3"/>
      <c r="R27" s="3"/>
      <c r="S27" s="3"/>
      <c r="T27" s="3"/>
    </row>
    <row r="28" spans="1:20" x14ac:dyDescent="0.25">
      <c r="A28" s="50"/>
      <c r="B28" s="51"/>
      <c r="C28" s="52"/>
      <c r="D28" s="52"/>
      <c r="E28" s="48"/>
      <c r="F28" s="48"/>
      <c r="G28" s="48"/>
      <c r="H28" s="48"/>
      <c r="I28" s="48"/>
      <c r="J28" s="48"/>
      <c r="K28" s="42"/>
      <c r="L28" s="42"/>
      <c r="M28" s="42"/>
      <c r="N28" s="42"/>
      <c r="O28" s="42"/>
      <c r="P28" s="42"/>
      <c r="Q28" s="53"/>
      <c r="R28" s="53"/>
      <c r="S28" s="53"/>
      <c r="T28" s="53"/>
    </row>
    <row r="29" spans="1:20" x14ac:dyDescent="0.25">
      <c r="A29" s="46" t="s">
        <v>37</v>
      </c>
      <c r="B29" s="3" t="s">
        <v>4</v>
      </c>
      <c r="C29" s="47"/>
      <c r="D29" s="47"/>
      <c r="E29" s="48">
        <v>10.8</v>
      </c>
      <c r="F29" s="48">
        <v>13.3</v>
      </c>
      <c r="G29" s="48">
        <v>17.2</v>
      </c>
      <c r="H29" s="48">
        <v>22.7</v>
      </c>
      <c r="I29" s="48">
        <v>34.1</v>
      </c>
      <c r="J29" s="48">
        <v>17.7</v>
      </c>
      <c r="K29" s="42"/>
      <c r="L29" s="42"/>
      <c r="M29" s="42"/>
      <c r="N29" s="42"/>
      <c r="O29" s="42"/>
      <c r="P29" s="42"/>
      <c r="Q29" s="3"/>
      <c r="R29" s="3"/>
      <c r="S29" s="3"/>
      <c r="T29" s="3"/>
    </row>
    <row r="30" spans="1:20" x14ac:dyDescent="0.25">
      <c r="A30" s="50"/>
      <c r="B30" s="51"/>
      <c r="C30" s="52"/>
      <c r="D30" s="52"/>
      <c r="E30" s="48"/>
      <c r="F30" s="48"/>
      <c r="G30" s="48"/>
      <c r="H30" s="48"/>
      <c r="I30" s="48"/>
      <c r="J30" s="48"/>
      <c r="K30" s="42"/>
      <c r="L30" s="42"/>
      <c r="M30" s="42"/>
      <c r="N30" s="42"/>
      <c r="O30" s="42"/>
      <c r="P30" s="42"/>
      <c r="Q30" s="53"/>
      <c r="R30" s="53"/>
      <c r="S30" s="53"/>
      <c r="T30" s="53"/>
    </row>
    <row r="31" spans="1:20" x14ac:dyDescent="0.25">
      <c r="A31" s="46" t="s">
        <v>38</v>
      </c>
      <c r="B31" s="2" t="s">
        <v>71</v>
      </c>
      <c r="C31" s="47"/>
      <c r="D31" s="47"/>
      <c r="E31" s="48">
        <v>52</v>
      </c>
      <c r="F31" s="48">
        <v>50.8</v>
      </c>
      <c r="G31" s="48">
        <v>50.1</v>
      </c>
      <c r="H31" s="48">
        <v>60.9</v>
      </c>
      <c r="I31" s="48">
        <v>91.7</v>
      </c>
      <c r="J31" s="48">
        <v>55.7</v>
      </c>
      <c r="K31" s="42"/>
      <c r="L31" s="42"/>
      <c r="M31" s="42"/>
      <c r="N31" s="42"/>
      <c r="O31" s="42"/>
      <c r="P31" s="42"/>
      <c r="Q31" s="3"/>
      <c r="R31" s="3"/>
      <c r="S31" s="3"/>
      <c r="T31" s="3"/>
    </row>
    <row r="32" spans="1:20" x14ac:dyDescent="0.25">
      <c r="A32" s="50"/>
      <c r="B32" s="51"/>
      <c r="C32" s="52"/>
      <c r="D32" s="52"/>
      <c r="E32" s="48"/>
      <c r="F32" s="48"/>
      <c r="G32" s="48"/>
      <c r="H32" s="48"/>
      <c r="I32" s="48"/>
      <c r="J32" s="48"/>
      <c r="K32" s="42"/>
      <c r="L32" s="42"/>
      <c r="M32" s="42"/>
      <c r="N32" s="42"/>
      <c r="O32" s="42"/>
      <c r="P32" s="42"/>
      <c r="Q32" s="53"/>
      <c r="R32" s="53"/>
      <c r="S32" s="53"/>
      <c r="T32" s="53"/>
    </row>
    <row r="33" spans="1:17" x14ac:dyDescent="0.25">
      <c r="A33" s="46" t="s">
        <v>39</v>
      </c>
      <c r="B33" s="2" t="s">
        <v>5</v>
      </c>
      <c r="C33" s="47"/>
      <c r="D33" s="47"/>
      <c r="E33" s="48">
        <v>17.2</v>
      </c>
      <c r="F33" s="48">
        <v>28.1</v>
      </c>
      <c r="G33" s="48">
        <v>41.1</v>
      </c>
      <c r="H33" s="48">
        <v>52.9</v>
      </c>
      <c r="I33" s="48">
        <v>64.400000000000006</v>
      </c>
      <c r="J33" s="48">
        <v>38.700000000000003</v>
      </c>
      <c r="K33" s="42"/>
      <c r="L33" s="42"/>
      <c r="M33" s="42"/>
      <c r="N33" s="42"/>
      <c r="O33" s="42"/>
      <c r="P33" s="42"/>
      <c r="Q33" s="54"/>
    </row>
    <row r="34" spans="1:17" x14ac:dyDescent="0.25">
      <c r="A34" s="50"/>
      <c r="B34" s="51"/>
      <c r="C34" s="52"/>
      <c r="D34" s="52"/>
      <c r="E34" s="48"/>
      <c r="F34" s="48"/>
      <c r="G34" s="48"/>
      <c r="H34" s="48"/>
      <c r="I34" s="48"/>
      <c r="J34" s="48"/>
      <c r="K34" s="42"/>
      <c r="L34" s="42"/>
      <c r="M34" s="42"/>
      <c r="N34" s="42"/>
      <c r="O34" s="42"/>
      <c r="P34" s="42"/>
      <c r="Q34" s="54"/>
    </row>
    <row r="35" spans="1:17" x14ac:dyDescent="0.25">
      <c r="A35" s="46" t="s">
        <v>40</v>
      </c>
      <c r="B35" s="2" t="s">
        <v>6</v>
      </c>
      <c r="C35" s="47"/>
      <c r="D35" s="47"/>
      <c r="E35" s="48">
        <v>2.9</v>
      </c>
      <c r="F35" s="48">
        <v>7</v>
      </c>
      <c r="G35" s="48">
        <v>15.5</v>
      </c>
      <c r="H35" s="48">
        <v>18.899999999999999</v>
      </c>
      <c r="I35" s="48">
        <v>21.4</v>
      </c>
      <c r="J35" s="48">
        <v>12.7</v>
      </c>
      <c r="K35" s="42"/>
      <c r="L35" s="42"/>
      <c r="M35" s="42"/>
      <c r="N35" s="42"/>
      <c r="O35" s="42"/>
      <c r="P35" s="42"/>
      <c r="Q35" s="3"/>
    </row>
    <row r="36" spans="1:17" x14ac:dyDescent="0.25">
      <c r="A36" s="50"/>
      <c r="B36" s="51"/>
      <c r="C36" s="52"/>
      <c r="D36" s="52"/>
      <c r="E36" s="48"/>
      <c r="F36" s="48"/>
      <c r="G36" s="48"/>
      <c r="H36" s="48"/>
      <c r="I36" s="48"/>
      <c r="J36" s="48"/>
      <c r="K36" s="42"/>
      <c r="L36" s="42"/>
      <c r="M36" s="42"/>
      <c r="N36" s="42"/>
      <c r="O36" s="42"/>
      <c r="P36" s="42"/>
      <c r="Q36" s="54"/>
    </row>
    <row r="37" spans="1:17" x14ac:dyDescent="0.25">
      <c r="A37" s="46" t="s">
        <v>41</v>
      </c>
      <c r="B37" s="2" t="s">
        <v>7</v>
      </c>
      <c r="C37" s="47"/>
      <c r="D37" s="47"/>
      <c r="E37" s="48">
        <v>27.9</v>
      </c>
      <c r="F37" s="48">
        <v>44.8</v>
      </c>
      <c r="G37" s="48">
        <v>60.6</v>
      </c>
      <c r="H37" s="48">
        <v>91.4</v>
      </c>
      <c r="I37" s="48">
        <v>107</v>
      </c>
      <c r="J37" s="48">
        <v>62.5</v>
      </c>
      <c r="K37" s="42"/>
      <c r="L37" s="42"/>
      <c r="M37" s="42"/>
      <c r="N37" s="42"/>
      <c r="O37" s="42"/>
      <c r="P37" s="42"/>
      <c r="Q37" s="3"/>
    </row>
    <row r="38" spans="1:17" x14ac:dyDescent="0.25">
      <c r="A38" s="50"/>
      <c r="B38" s="51"/>
      <c r="C38" s="52"/>
      <c r="D38" s="52"/>
      <c r="E38" s="48"/>
      <c r="F38" s="48"/>
      <c r="G38" s="48"/>
      <c r="H38" s="48"/>
      <c r="I38" s="48"/>
      <c r="J38" s="48"/>
      <c r="K38" s="42"/>
      <c r="L38" s="42"/>
      <c r="M38" s="42"/>
      <c r="N38" s="42"/>
      <c r="O38" s="42"/>
      <c r="P38" s="42"/>
      <c r="Q38" s="54"/>
    </row>
    <row r="39" spans="1:17" x14ac:dyDescent="0.25">
      <c r="A39" s="46" t="s">
        <v>42</v>
      </c>
      <c r="B39" s="2" t="s">
        <v>8</v>
      </c>
      <c r="C39" s="47"/>
      <c r="D39" s="47"/>
      <c r="E39" s="48">
        <v>9.1999999999999993</v>
      </c>
      <c r="F39" s="48">
        <v>11.2</v>
      </c>
      <c r="G39" s="48">
        <v>11.9</v>
      </c>
      <c r="H39" s="48">
        <v>13.4</v>
      </c>
      <c r="I39" s="48">
        <v>17</v>
      </c>
      <c r="J39" s="48">
        <v>12.1</v>
      </c>
      <c r="K39" s="42"/>
      <c r="L39" s="42"/>
      <c r="M39" s="42"/>
      <c r="N39" s="42"/>
      <c r="O39" s="42"/>
      <c r="P39" s="42"/>
      <c r="Q39" s="3"/>
    </row>
    <row r="40" spans="1:17" x14ac:dyDescent="0.25">
      <c r="A40" s="50"/>
      <c r="B40" s="51"/>
      <c r="C40" s="52"/>
      <c r="D40" s="52"/>
      <c r="E40" s="48"/>
      <c r="F40" s="48"/>
      <c r="G40" s="48"/>
      <c r="H40" s="48"/>
      <c r="I40" s="48"/>
      <c r="J40" s="48"/>
      <c r="K40" s="42"/>
      <c r="L40" s="42"/>
      <c r="M40" s="42"/>
      <c r="N40" s="42"/>
      <c r="O40" s="42"/>
      <c r="P40" s="42"/>
      <c r="Q40" s="54"/>
    </row>
    <row r="41" spans="1:17" x14ac:dyDescent="0.25">
      <c r="A41" s="46" t="s">
        <v>43</v>
      </c>
      <c r="B41" s="2" t="s">
        <v>9</v>
      </c>
      <c r="C41" s="47"/>
      <c r="D41" s="47"/>
      <c r="E41" s="48">
        <v>31.6</v>
      </c>
      <c r="F41" s="48">
        <v>50.2</v>
      </c>
      <c r="G41" s="48">
        <v>96.2</v>
      </c>
      <c r="H41" s="48">
        <v>110</v>
      </c>
      <c r="I41" s="48">
        <v>181.2</v>
      </c>
      <c r="J41" s="48">
        <v>84.2</v>
      </c>
      <c r="K41" s="42"/>
      <c r="L41" s="42"/>
      <c r="M41" s="42"/>
      <c r="N41" s="42"/>
      <c r="O41" s="42"/>
      <c r="P41" s="42"/>
      <c r="Q41" s="54"/>
    </row>
    <row r="42" spans="1:17" x14ac:dyDescent="0.25">
      <c r="A42" s="50"/>
      <c r="B42" s="51"/>
      <c r="C42" s="52"/>
      <c r="D42" s="52"/>
      <c r="E42" s="48"/>
      <c r="F42" s="48"/>
      <c r="G42" s="48"/>
      <c r="H42" s="48"/>
      <c r="I42" s="48"/>
      <c r="J42" s="48"/>
      <c r="K42" s="42"/>
      <c r="L42" s="42"/>
      <c r="M42" s="42"/>
      <c r="N42" s="42"/>
      <c r="O42" s="42"/>
      <c r="P42" s="42"/>
      <c r="Q42" s="54"/>
    </row>
    <row r="43" spans="1:17" x14ac:dyDescent="0.25">
      <c r="A43" s="46" t="s">
        <v>44</v>
      </c>
      <c r="B43" s="2" t="s">
        <v>10</v>
      </c>
      <c r="C43" s="47"/>
      <c r="D43" s="47"/>
      <c r="E43" s="49">
        <v>0.6</v>
      </c>
      <c r="F43" s="49">
        <v>0</v>
      </c>
      <c r="G43" s="49">
        <v>0.6</v>
      </c>
      <c r="H43" s="49">
        <v>1.9</v>
      </c>
      <c r="I43" s="49">
        <v>6.9</v>
      </c>
      <c r="J43" s="48">
        <v>1.1000000000000001</v>
      </c>
      <c r="K43" s="42"/>
      <c r="L43" s="42"/>
      <c r="M43" s="42"/>
      <c r="N43" s="42"/>
      <c r="O43" s="42"/>
      <c r="P43" s="42"/>
      <c r="Q43" s="3"/>
    </row>
    <row r="44" spans="1:17" x14ac:dyDescent="0.25">
      <c r="A44" s="50"/>
      <c r="B44" s="51"/>
      <c r="C44" s="52"/>
      <c r="D44" s="52"/>
      <c r="E44" s="48"/>
      <c r="F44" s="48"/>
      <c r="G44" s="48"/>
      <c r="H44" s="48"/>
      <c r="I44" s="48"/>
      <c r="J44" s="48"/>
      <c r="K44" s="42"/>
      <c r="L44" s="42"/>
      <c r="M44" s="42"/>
      <c r="N44" s="42"/>
      <c r="O44" s="42"/>
      <c r="P44" s="42"/>
      <c r="Q44" s="53"/>
    </row>
    <row r="45" spans="1:17" x14ac:dyDescent="0.25">
      <c r="A45" s="46" t="s">
        <v>45</v>
      </c>
      <c r="B45" s="2" t="s">
        <v>11</v>
      </c>
      <c r="C45" s="47"/>
      <c r="D45" s="47"/>
      <c r="E45" s="48">
        <v>20.6</v>
      </c>
      <c r="F45" s="48">
        <v>25.7</v>
      </c>
      <c r="G45" s="48">
        <v>39.6</v>
      </c>
      <c r="H45" s="48">
        <v>58.4</v>
      </c>
      <c r="I45" s="48">
        <v>86.2</v>
      </c>
      <c r="J45" s="48">
        <v>40.700000000000003</v>
      </c>
      <c r="K45" s="42"/>
      <c r="L45" s="42"/>
      <c r="M45" s="42"/>
      <c r="N45" s="42"/>
      <c r="O45" s="42"/>
      <c r="P45" s="42"/>
      <c r="Q45" s="3"/>
    </row>
    <row r="46" spans="1:17" x14ac:dyDescent="0.25">
      <c r="A46" s="50"/>
      <c r="B46" s="51"/>
      <c r="C46" s="52"/>
      <c r="D46" s="52"/>
      <c r="E46" s="48"/>
      <c r="F46" s="48"/>
      <c r="G46" s="48"/>
      <c r="H46" s="48"/>
      <c r="I46" s="48"/>
      <c r="J46" s="48"/>
      <c r="K46" s="42"/>
      <c r="L46" s="42"/>
      <c r="M46" s="42"/>
      <c r="N46" s="42"/>
      <c r="O46" s="42"/>
      <c r="P46" s="42"/>
      <c r="Q46" s="53"/>
    </row>
    <row r="47" spans="1:17" x14ac:dyDescent="0.25">
      <c r="A47" s="46" t="s">
        <v>46</v>
      </c>
      <c r="B47" s="2" t="s">
        <v>12</v>
      </c>
      <c r="C47" s="47"/>
      <c r="D47" s="47"/>
      <c r="E47" s="48">
        <v>20.8</v>
      </c>
      <c r="F47" s="48">
        <v>25.7</v>
      </c>
      <c r="G47" s="48">
        <v>35.200000000000003</v>
      </c>
      <c r="H47" s="48">
        <v>49.4</v>
      </c>
      <c r="I47" s="48">
        <v>78.2</v>
      </c>
      <c r="J47" s="48">
        <v>36.799999999999997</v>
      </c>
      <c r="K47" s="42"/>
      <c r="L47" s="42"/>
      <c r="M47" s="42"/>
      <c r="N47" s="42"/>
      <c r="O47" s="42"/>
      <c r="P47" s="42"/>
      <c r="Q47" s="3"/>
    </row>
    <row r="48" spans="1:17" x14ac:dyDescent="0.25">
      <c r="A48" s="53"/>
      <c r="B48" s="51"/>
      <c r="C48" s="52"/>
      <c r="D48" s="52"/>
      <c r="E48" s="186"/>
      <c r="F48" s="186"/>
      <c r="G48" s="186"/>
      <c r="H48" s="186"/>
      <c r="I48" s="186"/>
      <c r="J48" s="186"/>
      <c r="K48" s="42"/>
      <c r="L48" s="42"/>
      <c r="M48" s="42"/>
      <c r="N48" s="42"/>
      <c r="O48" s="42"/>
      <c r="P48" s="42"/>
      <c r="Q48" s="53"/>
    </row>
    <row r="49" spans="1:17" x14ac:dyDescent="0.25">
      <c r="A49" s="50"/>
      <c r="B49" s="51"/>
      <c r="C49" s="52"/>
      <c r="D49" s="52"/>
      <c r="E49" s="187"/>
      <c r="F49" s="187"/>
      <c r="G49" s="187"/>
      <c r="H49" s="187"/>
      <c r="I49" s="187"/>
      <c r="J49" s="187"/>
      <c r="K49" s="42"/>
      <c r="L49" s="42"/>
      <c r="M49" s="42"/>
      <c r="N49" s="42"/>
      <c r="O49" s="42"/>
      <c r="P49" s="42"/>
      <c r="Q49" s="53"/>
    </row>
    <row r="50" spans="1:17" x14ac:dyDescent="0.25">
      <c r="A50" s="46" t="s">
        <v>47</v>
      </c>
      <c r="B50" s="2" t="s">
        <v>48</v>
      </c>
      <c r="C50" s="3"/>
      <c r="D50" s="47"/>
      <c r="E50" s="48">
        <v>259.60000000000002</v>
      </c>
      <c r="F50" s="48">
        <v>323.2</v>
      </c>
      <c r="G50" s="48">
        <v>442.8</v>
      </c>
      <c r="H50" s="48">
        <v>564.29999999999995</v>
      </c>
      <c r="I50" s="48">
        <v>790.3</v>
      </c>
      <c r="J50" s="48">
        <v>437.2</v>
      </c>
      <c r="K50" s="42"/>
      <c r="L50" s="42"/>
      <c r="M50" s="42"/>
      <c r="N50" s="42"/>
      <c r="O50" s="42"/>
      <c r="P50" s="42"/>
      <c r="Q50" s="3"/>
    </row>
    <row r="51" spans="1:17" x14ac:dyDescent="0.25">
      <c r="A51" s="50"/>
      <c r="B51" s="53"/>
      <c r="C51" s="52"/>
      <c r="D51" s="52"/>
      <c r="E51" s="56"/>
      <c r="F51" s="55"/>
      <c r="G51" s="56"/>
      <c r="H51" s="55"/>
      <c r="I51" s="56"/>
      <c r="J51" s="55"/>
      <c r="K51" s="42"/>
      <c r="L51" s="42"/>
      <c r="M51" s="42"/>
      <c r="N51" s="42"/>
      <c r="O51" s="42"/>
      <c r="P51" s="42"/>
      <c r="Q51" s="53"/>
    </row>
    <row r="52" spans="1:17" x14ac:dyDescent="0.25">
      <c r="A52" s="50"/>
      <c r="B52" s="53"/>
      <c r="C52" s="52"/>
      <c r="D52" s="52"/>
      <c r="E52" s="13"/>
      <c r="F52" s="13"/>
      <c r="G52" s="13"/>
      <c r="H52" s="13"/>
      <c r="I52" s="13"/>
      <c r="J52" s="13"/>
      <c r="K52" s="42"/>
      <c r="L52" s="42"/>
      <c r="M52" s="42"/>
      <c r="N52" s="42"/>
      <c r="O52" s="42"/>
      <c r="P52" s="42"/>
      <c r="Q52" s="53"/>
    </row>
    <row r="53" spans="1:17" x14ac:dyDescent="0.25">
      <c r="A53" s="46" t="s">
        <v>49</v>
      </c>
      <c r="B53" s="2" t="s">
        <v>13</v>
      </c>
      <c r="C53" s="47"/>
      <c r="D53" s="47"/>
      <c r="E53" s="48">
        <v>19.3</v>
      </c>
      <c r="F53" s="48">
        <v>36.700000000000003</v>
      </c>
      <c r="G53" s="48">
        <v>53.1</v>
      </c>
      <c r="H53" s="48">
        <v>65.900000000000006</v>
      </c>
      <c r="I53" s="48">
        <v>129.30000000000001</v>
      </c>
      <c r="J53" s="48">
        <v>52.9</v>
      </c>
      <c r="K53" s="42"/>
      <c r="L53" s="42"/>
      <c r="M53" s="42"/>
      <c r="N53" s="42"/>
      <c r="O53" s="42"/>
      <c r="P53" s="42"/>
      <c r="Q53" s="3"/>
    </row>
    <row r="54" spans="1:17" x14ac:dyDescent="0.25">
      <c r="A54" s="15"/>
      <c r="B54" s="51"/>
      <c r="C54" s="52"/>
      <c r="D54" s="52"/>
      <c r="E54" s="57"/>
      <c r="F54" s="36"/>
      <c r="G54" s="57"/>
      <c r="H54" s="36"/>
      <c r="I54" s="57"/>
      <c r="J54" s="36"/>
      <c r="K54" s="42"/>
      <c r="L54" s="42"/>
      <c r="M54" s="42"/>
      <c r="N54" s="42"/>
      <c r="O54" s="42"/>
      <c r="P54" s="42"/>
      <c r="Q54" s="53"/>
    </row>
    <row r="55" spans="1:17" x14ac:dyDescent="0.25">
      <c r="A55" s="58"/>
      <c r="B55" s="59"/>
      <c r="C55" s="60"/>
      <c r="D55" s="61"/>
      <c r="E55" s="62"/>
      <c r="F55" s="62"/>
      <c r="G55" s="62"/>
      <c r="H55" s="62"/>
      <c r="I55" s="62"/>
      <c r="J55" s="62"/>
      <c r="K55" s="42"/>
      <c r="L55" s="42"/>
      <c r="M55" s="42"/>
      <c r="N55" s="42"/>
      <c r="O55" s="42"/>
      <c r="P55" s="42"/>
      <c r="Q55" s="36"/>
    </row>
    <row r="56" spans="1:17" x14ac:dyDescent="0.25">
      <c r="A56" s="63" t="s">
        <v>50</v>
      </c>
      <c r="B56" s="66"/>
      <c r="C56" s="47"/>
      <c r="D56" s="47"/>
      <c r="E56" s="64">
        <v>278.89999999999998</v>
      </c>
      <c r="F56" s="64">
        <v>360</v>
      </c>
      <c r="G56" s="64">
        <v>495.9</v>
      </c>
      <c r="H56" s="64">
        <v>630.20000000000005</v>
      </c>
      <c r="I56" s="64">
        <v>919.6</v>
      </c>
      <c r="J56" s="64">
        <v>490.1</v>
      </c>
      <c r="K56" s="42"/>
      <c r="L56" s="42"/>
      <c r="M56" s="42"/>
      <c r="N56" s="42"/>
      <c r="O56" s="42"/>
      <c r="P56" s="42"/>
      <c r="Q56" s="3"/>
    </row>
    <row r="57" spans="1:17" x14ac:dyDescent="0.25">
      <c r="A57" s="68"/>
      <c r="B57" s="69"/>
      <c r="C57" s="173"/>
      <c r="D57" s="70"/>
      <c r="E57" s="22"/>
      <c r="F57" s="22"/>
      <c r="G57" s="22"/>
      <c r="H57" s="22"/>
      <c r="I57" s="22"/>
      <c r="J57" s="22"/>
      <c r="K57" s="42"/>
      <c r="L57" s="42"/>
      <c r="M57" s="42"/>
      <c r="N57" s="42"/>
      <c r="O57" s="42"/>
      <c r="P57" s="42"/>
      <c r="Q57" s="30"/>
    </row>
    <row r="58" spans="1:17" x14ac:dyDescent="0.25">
      <c r="A58" s="15"/>
      <c r="B58" s="71"/>
      <c r="C58" s="52"/>
      <c r="D58" s="72"/>
      <c r="E58" s="21"/>
      <c r="F58" s="21"/>
      <c r="G58" s="21"/>
      <c r="H58" s="21"/>
      <c r="I58" s="21"/>
      <c r="J58" s="21"/>
      <c r="K58" s="42"/>
      <c r="L58" s="42"/>
      <c r="M58" s="42"/>
      <c r="N58" s="42"/>
      <c r="O58" s="42"/>
      <c r="P58" s="42"/>
      <c r="Q58" s="30"/>
    </row>
    <row r="59" spans="1:17" x14ac:dyDescent="0.25">
      <c r="A59" s="65" t="s">
        <v>51</v>
      </c>
      <c r="B59" s="174"/>
      <c r="C59" s="175"/>
      <c r="D59" s="175"/>
      <c r="E59" s="13"/>
      <c r="F59" s="13"/>
      <c r="G59" s="13"/>
      <c r="H59" s="13"/>
      <c r="I59" s="13"/>
      <c r="J59" s="21"/>
      <c r="K59" s="42"/>
      <c r="L59" s="42"/>
      <c r="M59" s="42"/>
      <c r="N59" s="42"/>
      <c r="O59" s="42"/>
      <c r="P59" s="42"/>
      <c r="Q59" s="66"/>
    </row>
    <row r="60" spans="1:17" x14ac:dyDescent="0.25">
      <c r="A60" s="67" t="s">
        <v>50</v>
      </c>
      <c r="B60" s="2"/>
      <c r="C60" s="47"/>
      <c r="D60" s="47"/>
      <c r="E60" s="64">
        <v>139.5</v>
      </c>
      <c r="F60" s="64">
        <v>180</v>
      </c>
      <c r="G60" s="64">
        <v>247.9</v>
      </c>
      <c r="H60" s="64">
        <v>315.10000000000002</v>
      </c>
      <c r="I60" s="64">
        <v>459.8</v>
      </c>
      <c r="J60" s="64">
        <v>245.1</v>
      </c>
      <c r="K60" s="42"/>
      <c r="L60" s="42"/>
      <c r="M60" s="42"/>
      <c r="N60" s="42"/>
      <c r="O60" s="42"/>
      <c r="P60" s="42"/>
      <c r="Q60" s="3"/>
    </row>
    <row r="61" spans="1:17" x14ac:dyDescent="0.25">
      <c r="A61" s="68"/>
      <c r="B61" s="69"/>
      <c r="C61" s="70"/>
      <c r="D61" s="70"/>
      <c r="E61" s="22"/>
      <c r="F61" s="22"/>
      <c r="G61" s="22"/>
      <c r="H61" s="22"/>
      <c r="I61" s="22"/>
      <c r="J61" s="22"/>
      <c r="K61" s="42"/>
      <c r="L61" s="42"/>
      <c r="M61" s="42"/>
      <c r="N61" s="42"/>
      <c r="O61" s="42"/>
      <c r="P61" s="42"/>
      <c r="Q61" s="30"/>
    </row>
    <row r="62" spans="1:17" x14ac:dyDescent="0.25">
      <c r="A62" s="15"/>
      <c r="B62" s="71"/>
      <c r="C62" s="72"/>
      <c r="D62" s="72"/>
      <c r="E62" s="73"/>
      <c r="F62" s="73"/>
      <c r="G62" s="73"/>
      <c r="H62" s="73"/>
      <c r="I62" s="73"/>
      <c r="J62" s="73"/>
      <c r="K62" s="42"/>
      <c r="L62" s="42"/>
      <c r="M62" s="42"/>
      <c r="N62" s="42"/>
      <c r="O62" s="42"/>
      <c r="P62" s="42"/>
      <c r="Q62" s="30"/>
    </row>
    <row r="63" spans="1:17" x14ac:dyDescent="0.25">
      <c r="A63" s="176" t="s">
        <v>52</v>
      </c>
      <c r="B63" s="71"/>
      <c r="C63" s="72"/>
      <c r="D63" s="75"/>
      <c r="E63" s="76"/>
      <c r="F63" s="76"/>
      <c r="G63" s="76"/>
      <c r="H63" s="76"/>
      <c r="I63" s="76"/>
      <c r="J63" s="76"/>
      <c r="K63" s="37"/>
      <c r="L63" s="37"/>
      <c r="M63" s="37"/>
      <c r="N63" s="37"/>
      <c r="O63" s="37"/>
      <c r="P63" s="37"/>
      <c r="Q63" s="37"/>
    </row>
    <row r="64" spans="1:17" x14ac:dyDescent="0.25">
      <c r="A64" s="32" t="s">
        <v>53</v>
      </c>
      <c r="B64" s="37"/>
      <c r="C64" s="37"/>
      <c r="D64" s="37"/>
      <c r="E64" s="37"/>
      <c r="F64" s="13"/>
      <c r="G64" s="13"/>
      <c r="H64" s="13"/>
      <c r="I64" s="13"/>
      <c r="J64" s="13"/>
      <c r="K64" s="13"/>
      <c r="L64" s="13"/>
      <c r="M64" s="13"/>
      <c r="N64" s="13"/>
      <c r="O64" s="13"/>
      <c r="P64" s="13"/>
      <c r="Q64" s="13"/>
    </row>
    <row r="65" spans="1:11" x14ac:dyDescent="0.25">
      <c r="A65" s="75" t="s">
        <v>54</v>
      </c>
      <c r="B65" s="37"/>
      <c r="C65" s="37"/>
      <c r="D65" s="37"/>
      <c r="E65" s="37"/>
      <c r="F65" s="13"/>
      <c r="G65" s="13"/>
      <c r="H65" s="13"/>
      <c r="I65" s="13"/>
      <c r="J65" s="13"/>
      <c r="K65" s="13"/>
    </row>
    <row r="66" spans="1:11" x14ac:dyDescent="0.25">
      <c r="A66" s="75" t="s">
        <v>72</v>
      </c>
      <c r="B66" s="13"/>
      <c r="C66" s="13"/>
      <c r="D66" s="13"/>
      <c r="E66" s="13"/>
      <c r="F66" s="13"/>
      <c r="G66" s="37"/>
      <c r="H66" s="37"/>
      <c r="I66" s="37"/>
      <c r="J66" s="37"/>
      <c r="K66" s="37"/>
    </row>
    <row r="67" spans="1:11" x14ac:dyDescent="0.25">
      <c r="A67" s="75" t="s">
        <v>55</v>
      </c>
      <c r="B67" s="13"/>
      <c r="C67" s="13"/>
      <c r="D67" s="13"/>
      <c r="E67" s="13"/>
      <c r="F67" s="13"/>
      <c r="G67" s="37"/>
      <c r="H67" s="37"/>
      <c r="I67" s="37"/>
      <c r="J67" s="37"/>
      <c r="K67" s="37"/>
    </row>
    <row r="68" spans="1:11" x14ac:dyDescent="0.25">
      <c r="A68" s="74" t="s">
        <v>65</v>
      </c>
      <c r="B68" s="13"/>
      <c r="C68" s="13"/>
      <c r="D68" s="13"/>
      <c r="E68" s="13"/>
      <c r="F68" s="13"/>
      <c r="G68" s="13"/>
      <c r="H68" s="13"/>
      <c r="I68" s="13"/>
      <c r="J68" s="13"/>
      <c r="K68" s="13"/>
    </row>
    <row r="69" spans="1:11" x14ac:dyDescent="0.25">
      <c r="A69" s="77" t="s">
        <v>66</v>
      </c>
      <c r="B69" s="37"/>
      <c r="C69" s="37"/>
      <c r="D69" s="37"/>
      <c r="E69" s="45"/>
      <c r="F69" s="45"/>
      <c r="G69" s="45"/>
      <c r="H69" s="45"/>
      <c r="I69" s="45"/>
      <c r="J69" s="37"/>
      <c r="K69" s="37"/>
    </row>
    <row r="70" spans="1:11" x14ac:dyDescent="0.25">
      <c r="A70" s="32"/>
      <c r="B70" s="32"/>
      <c r="C70" s="78"/>
      <c r="D70" s="78"/>
      <c r="E70" s="21"/>
      <c r="F70" s="21"/>
      <c r="G70" s="21"/>
      <c r="H70" s="21"/>
      <c r="I70" s="21"/>
      <c r="J70" s="36"/>
      <c r="K70" s="36"/>
    </row>
    <row r="71" spans="1:11" x14ac:dyDescent="0.25">
      <c r="A71" s="37"/>
      <c r="B71" s="37"/>
      <c r="C71" s="37"/>
      <c r="D71" s="13"/>
      <c r="E71" s="13"/>
      <c r="F71" s="13"/>
      <c r="G71" s="13"/>
      <c r="H71" s="13"/>
      <c r="I71" s="13"/>
      <c r="J71" s="13"/>
      <c r="K71" s="13"/>
    </row>
    <row r="72" spans="1:11" x14ac:dyDescent="0.25">
      <c r="A72" s="75" t="s">
        <v>56</v>
      </c>
      <c r="B72" s="32"/>
      <c r="C72" s="78"/>
      <c r="D72" s="78"/>
      <c r="E72" s="21"/>
      <c r="F72" s="21"/>
      <c r="G72" s="21"/>
      <c r="H72" s="21"/>
      <c r="I72" s="21"/>
      <c r="J72" s="36"/>
      <c r="K72" s="36"/>
    </row>
    <row r="73" spans="1:11" x14ac:dyDescent="0.25">
      <c r="A73" s="13"/>
      <c r="B73" s="13"/>
      <c r="C73" s="13"/>
      <c r="D73" s="13"/>
      <c r="E73" s="13"/>
      <c r="F73" s="13"/>
      <c r="G73" s="13"/>
      <c r="H73" s="13"/>
      <c r="I73" s="13"/>
      <c r="J73" s="13"/>
      <c r="K73" s="13"/>
    </row>
    <row r="74" spans="1:11" x14ac:dyDescent="0.25">
      <c r="A74" s="13"/>
      <c r="B74" s="13"/>
      <c r="C74" s="13"/>
      <c r="D74" s="13"/>
      <c r="E74" s="13"/>
      <c r="F74" s="13"/>
      <c r="G74" s="13"/>
      <c r="H74" s="13"/>
      <c r="I74" s="13"/>
      <c r="J74" s="13"/>
      <c r="K74" s="13"/>
    </row>
    <row r="75" spans="1:11" x14ac:dyDescent="0.25">
      <c r="A75" s="13"/>
      <c r="B75" s="13"/>
      <c r="C75" s="13"/>
      <c r="D75" s="13"/>
      <c r="E75" s="13"/>
      <c r="F75" s="13"/>
      <c r="G75" s="13"/>
      <c r="H75" s="13"/>
      <c r="I75" s="13"/>
      <c r="J75" s="13"/>
      <c r="K75" s="13"/>
    </row>
    <row r="76" spans="1:11" x14ac:dyDescent="0.25">
      <c r="A76" s="79"/>
      <c r="B76" s="13"/>
      <c r="C76" s="13"/>
      <c r="D76" s="13"/>
      <c r="E76" s="13"/>
      <c r="F76" s="13"/>
      <c r="G76" s="13"/>
      <c r="H76" s="13"/>
      <c r="I76" s="13"/>
      <c r="J76" s="13"/>
      <c r="K76" s="13"/>
    </row>
    <row r="77" spans="1:11" x14ac:dyDescent="0.25">
      <c r="A77" s="13"/>
      <c r="B77" s="13"/>
      <c r="C77" s="13"/>
      <c r="D77" s="13"/>
      <c r="E77" s="13"/>
      <c r="F77" s="13"/>
      <c r="G77" s="13"/>
      <c r="H77" s="13"/>
      <c r="I77" s="13"/>
      <c r="J77" s="13"/>
      <c r="K77" s="13"/>
    </row>
    <row r="78" spans="1:11" x14ac:dyDescent="0.25">
      <c r="A78" s="79"/>
      <c r="B78" s="13"/>
      <c r="C78" s="13"/>
      <c r="D78" s="13"/>
      <c r="E78" s="13"/>
      <c r="F78" s="13"/>
      <c r="G78" s="13"/>
      <c r="H78" s="13"/>
      <c r="I78" s="13"/>
      <c r="J78" s="13"/>
      <c r="K78" s="13"/>
    </row>
    <row r="79" spans="1:11" x14ac:dyDescent="0.25">
      <c r="A79" s="13"/>
      <c r="B79" s="13"/>
      <c r="C79" s="13"/>
      <c r="D79" s="13"/>
      <c r="E79" s="13"/>
      <c r="F79" s="13"/>
      <c r="G79" s="13"/>
      <c r="H79" s="13"/>
      <c r="I79" s="13"/>
      <c r="J79" s="13"/>
      <c r="K79" s="13"/>
    </row>
    <row r="80" spans="1:11" x14ac:dyDescent="0.25">
      <c r="A80" s="13"/>
      <c r="B80" s="13"/>
      <c r="C80" s="13"/>
      <c r="D80" s="13"/>
      <c r="E80" s="13"/>
      <c r="F80" s="13"/>
      <c r="G80" s="13"/>
      <c r="H80" s="13"/>
      <c r="I80" s="13"/>
      <c r="J80" s="13"/>
      <c r="K8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109</vt:i4>
      </vt:variant>
    </vt:vector>
  </HeadingPairs>
  <TitlesOfParts>
    <vt:vector size="111" baseType="lpstr">
      <vt:lpstr>Inputs</vt:lpstr>
      <vt:lpstr>Chart</vt:lpstr>
      <vt:lpstr>_PAF1</vt:lpstr>
      <vt:lpstr>_PAF10</vt:lpstr>
      <vt:lpstr>_PAF11</vt:lpstr>
      <vt:lpstr>_PAF12</vt:lpstr>
      <vt:lpstr>_PAF13</vt:lpstr>
      <vt:lpstr>_PAF2</vt:lpstr>
      <vt:lpstr>_PAF3</vt:lpstr>
      <vt:lpstr>_PAF4</vt:lpstr>
      <vt:lpstr>_PAF5</vt:lpstr>
      <vt:lpstr>_PAF6</vt:lpstr>
      <vt:lpstr>_PAF7</vt:lpstr>
      <vt:lpstr>_PAF8</vt:lpstr>
      <vt:lpstr>_PAF9</vt:lpstr>
      <vt:lpstr>additional_income</vt:lpstr>
      <vt:lpstr>additional_rate</vt:lpstr>
      <vt:lpstr>additional_tax</vt:lpstr>
      <vt:lpstr>adj_nil_band</vt:lpstr>
      <vt:lpstr>adj_nil_band_sco</vt:lpstr>
      <vt:lpstr>advanced_band_sco</vt:lpstr>
      <vt:lpstr>advanced_income_sco</vt:lpstr>
      <vt:lpstr>advanced_rate_sco</vt:lpstr>
      <vt:lpstr>advanced_sco</vt:lpstr>
      <vt:lpstr>annual_income</vt:lpstr>
      <vt:lpstr>basic_band</vt:lpstr>
      <vt:lpstr>Basic_band_sco</vt:lpstr>
      <vt:lpstr>basic_england</vt:lpstr>
      <vt:lpstr>basic_income</vt:lpstr>
      <vt:lpstr>basic_income_sco</vt:lpstr>
      <vt:lpstr>basic_rate</vt:lpstr>
      <vt:lpstr>basic_rate_sco</vt:lpstr>
      <vt:lpstr>basic_sco</vt:lpstr>
      <vt:lpstr>basic_tax</vt:lpstr>
      <vt:lpstr>country</vt:lpstr>
      <vt:lpstr>Est_expenditure1</vt:lpstr>
      <vt:lpstr>Est_expenditure10</vt:lpstr>
      <vt:lpstr>Est_expenditure11</vt:lpstr>
      <vt:lpstr>Est_expenditure12</vt:lpstr>
      <vt:lpstr>Est_expenditure13</vt:lpstr>
      <vt:lpstr>Est_expenditure2</vt:lpstr>
      <vt:lpstr>Est_expenditure3</vt:lpstr>
      <vt:lpstr>Est_expenditure4</vt:lpstr>
      <vt:lpstr>Est_expenditure5</vt:lpstr>
      <vt:lpstr>Est_expenditure6</vt:lpstr>
      <vt:lpstr>Est_expenditure7</vt:lpstr>
      <vt:lpstr>Est_expenditure8</vt:lpstr>
      <vt:lpstr>Est_expenditure9</vt:lpstr>
      <vt:lpstr>exp_scaling</vt:lpstr>
      <vt:lpstr>exp_type</vt:lpstr>
      <vt:lpstr>Expenditure1</vt:lpstr>
      <vt:lpstr>Expenditure10</vt:lpstr>
      <vt:lpstr>Expenditure11</vt:lpstr>
      <vt:lpstr>Expenditure12</vt:lpstr>
      <vt:lpstr>Expenditure13</vt:lpstr>
      <vt:lpstr>Expenditure2</vt:lpstr>
      <vt:lpstr>Expenditure3</vt:lpstr>
      <vt:lpstr>Expenditure4</vt:lpstr>
      <vt:lpstr>Expenditure5</vt:lpstr>
      <vt:lpstr>Expenditure6</vt:lpstr>
      <vt:lpstr>Expenditure7</vt:lpstr>
      <vt:lpstr>Expenditure8</vt:lpstr>
      <vt:lpstr>Expenditure9</vt:lpstr>
      <vt:lpstr>form_lookup</vt:lpstr>
      <vt:lpstr>higher_band</vt:lpstr>
      <vt:lpstr>Higher_band_sco</vt:lpstr>
      <vt:lpstr>higher_england</vt:lpstr>
      <vt:lpstr>higher_income</vt:lpstr>
      <vt:lpstr>higher_income_sco</vt:lpstr>
      <vt:lpstr>higher_rate</vt:lpstr>
      <vt:lpstr>higher_rate_sco</vt:lpstr>
      <vt:lpstr>higher_sco</vt:lpstr>
      <vt:lpstr>higher_tax</vt:lpstr>
      <vt:lpstr>income_range</vt:lpstr>
      <vt:lpstr>inf</vt:lpstr>
      <vt:lpstr>inter_band_sco</vt:lpstr>
      <vt:lpstr>inter_income_sco</vt:lpstr>
      <vt:lpstr>inter_rate_sco</vt:lpstr>
      <vt:lpstr>Inter_sco</vt:lpstr>
      <vt:lpstr>interpolated_factor</vt:lpstr>
      <vt:lpstr>Intr_sco</vt:lpstr>
      <vt:lpstr>lookup_range</vt:lpstr>
      <vt:lpstr>mapping_table</vt:lpstr>
      <vt:lpstr>net_income</vt:lpstr>
      <vt:lpstr>nil_band</vt:lpstr>
      <vt:lpstr>nil_band_sco</vt:lpstr>
      <vt:lpstr>nil_england</vt:lpstr>
      <vt:lpstr>nil_income</vt:lpstr>
      <vt:lpstr>nil_income_Sco</vt:lpstr>
      <vt:lpstr>nil_rate</vt:lpstr>
      <vt:lpstr>nil_rate_sco</vt:lpstr>
      <vt:lpstr>nil_sco</vt:lpstr>
      <vt:lpstr>nil_tax</vt:lpstr>
      <vt:lpstr>personal_adj</vt:lpstr>
      <vt:lpstr>quintile</vt:lpstr>
      <vt:lpstr>replacement_ratio</vt:lpstr>
      <vt:lpstr>salary</vt:lpstr>
      <vt:lpstr>Starter_band</vt:lpstr>
      <vt:lpstr>Starter_band_sco</vt:lpstr>
      <vt:lpstr>starter_income</vt:lpstr>
      <vt:lpstr>starter_income_sco</vt:lpstr>
      <vt:lpstr>starter_rate_sco</vt:lpstr>
      <vt:lpstr>starter_sco</vt:lpstr>
      <vt:lpstr>top_band_sco</vt:lpstr>
      <vt:lpstr>top_income_sco</vt:lpstr>
      <vt:lpstr>top_rate_sco</vt:lpstr>
      <vt:lpstr>top_sco</vt:lpstr>
      <vt:lpstr>total_expenditure</vt:lpstr>
      <vt:lpstr>total_tax</vt:lpstr>
      <vt:lpstr>total_tax_scot</vt:lpstr>
      <vt:lpstr>weekly_expenditure</vt:lpstr>
    </vt:vector>
  </TitlesOfParts>
  <Company>Standard Life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Fish</dc:creator>
  <cp:lastModifiedBy>Ian Richards</cp:lastModifiedBy>
  <cp:lastPrinted>2018-01-24T08:48:33Z</cp:lastPrinted>
  <dcterms:created xsi:type="dcterms:W3CDTF">2017-06-15T10:47:28Z</dcterms:created>
  <dcterms:modified xsi:type="dcterms:W3CDTF">2026-04-07T07:26:22Z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2024-03-21T13:19:39Z</vt:lpwstr>
  </property>
  <property fmtid="{D5CDD505-2E9C-101B-9397-08002B2CF9AE}" pid="4" name="MSIP_Label_daedb74c-5c9d-4922-8c2a-58c941882563_Method">
    <vt:lpwstr>Privileged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cb72578c-889c-4310-890e-89f9eab568dd</vt:lpwstr>
  </property>
  <property fmtid="{D5CDD505-2E9C-101B-9397-08002B2CF9AE}" pid="8" name="MSIP_Label_daedb74c-5c9d-4922-8c2a-58c941882563_ContentBits">
    <vt:lpwstr>0</vt:lpwstr>
  </property>
</Properties>
</file>